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05" windowWidth="18195" windowHeight="7440" activeTab="1"/>
  </bookViews>
  <sheets>
    <sheet name="META" sheetId="2" r:id="rId1"/>
    <sheet name="Fluxes" sheetId="1" r:id="rId2"/>
    <sheet name="Concentrations" sheetId="3" r:id="rId3"/>
    <sheet name="StandardsA" sheetId="4" r:id="rId4"/>
    <sheet name="StandardsB" sheetId="10" r:id="rId5"/>
    <sheet name="Graphs" sheetId="9" r:id="rId6"/>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L13" authorId="0">
      <text>
        <r>
          <rPr>
            <b/>
            <sz val="9"/>
            <color indexed="81"/>
            <rFont val="Tahoma"/>
            <charset val="1"/>
          </rPr>
          <t>Diego:</t>
        </r>
        <r>
          <rPr>
            <sz val="9"/>
            <color indexed="81"/>
            <rFont val="Tahoma"/>
            <charset val="1"/>
          </rPr>
          <t xml:space="preserve">
Repeated, first reading 1.342ppm among lowest seen. Repeat was 1.588</t>
        </r>
      </text>
    </comment>
    <comment ref="K14" authorId="0">
      <text>
        <r>
          <rPr>
            <b/>
            <sz val="9"/>
            <color indexed="81"/>
            <rFont val="Tahoma"/>
            <charset val="1"/>
          </rPr>
          <t>Diego:</t>
        </r>
        <r>
          <rPr>
            <sz val="9"/>
            <color indexed="81"/>
            <rFont val="Tahoma"/>
            <charset val="1"/>
          </rPr>
          <t xml:space="preserve">
Repeated, first reading 1.403ppm among lowest seen. Repeat was 1.664ppm
</t>
        </r>
      </text>
    </comment>
    <comment ref="M19" authorId="0">
      <text>
        <r>
          <rPr>
            <b/>
            <sz val="9"/>
            <color indexed="81"/>
            <rFont val="Tahoma"/>
            <charset val="1"/>
          </rPr>
          <t>Diego:</t>
        </r>
        <r>
          <rPr>
            <sz val="9"/>
            <color indexed="81"/>
            <rFont val="Tahoma"/>
            <charset val="1"/>
          </rPr>
          <t xml:space="preserve">
Repeated, first reading 1.769ppm among highest seen. Repeat was 1.774</t>
        </r>
      </text>
    </comment>
    <comment ref="L20" authorId="0">
      <text>
        <r>
          <rPr>
            <b/>
            <sz val="9"/>
            <color indexed="81"/>
            <rFont val="Tahoma"/>
            <charset val="1"/>
          </rPr>
          <t>Diego:</t>
        </r>
        <r>
          <rPr>
            <sz val="9"/>
            <color indexed="81"/>
            <rFont val="Tahoma"/>
            <charset val="1"/>
          </rPr>
          <t xml:space="preserve">
Repeat, first reading was 1.382ppm. Hardly changes flux or R2.</t>
        </r>
      </text>
    </comment>
    <comment ref="K35" authorId="0">
      <text>
        <r>
          <rPr>
            <b/>
            <sz val="9"/>
            <color indexed="81"/>
            <rFont val="Tahoma"/>
            <charset val="1"/>
          </rPr>
          <t>Diego:</t>
        </r>
        <r>
          <rPr>
            <sz val="9"/>
            <color indexed="81"/>
            <rFont val="Tahoma"/>
            <charset val="1"/>
          </rPr>
          <t xml:space="preserve">
Repeated, the first GC run returned 1.359ppm which is lower then usual.</t>
        </r>
      </text>
    </comment>
  </commentList>
</comments>
</file>

<file path=xl/sharedStrings.xml><?xml version="1.0" encoding="utf-8"?>
<sst xmlns="http://schemas.openxmlformats.org/spreadsheetml/2006/main" count="153" uniqueCount="122">
  <si>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</si>
  <si>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</si>
  <si>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</si>
  <si>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</si>
  <si>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</si>
  <si>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</si>
  <si>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</si>
  <si>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</si>
  <si>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</si>
  <si>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</si>
  <si>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</si>
  <si>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</si>
  <si>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</si>
  <si>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</si>
  <si>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</si>
  <si>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</si>
  <si>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</si>
  <si>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</si>
  <si>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</si>
  <si>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</si>
  <si>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</si>
  <si>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</si>
  <si>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</si>
  <si>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</si>
  <si>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</si>
  <si>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</si>
  <si>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</si>
  <si>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</si>
  <si>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</si>
  <si>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</si>
  <si>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</si>
  <si>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</si>
  <si>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</si>
  <si>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</si>
  <si>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</si>
  <si>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</si>
  <si>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</si>
  <si>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</si>
  <si>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</si>
  <si>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</si>
  <si>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</si>
  <si>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</si>
  <si>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</si>
  <si>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</si>
  <si>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</si>
  <si>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</si>
  <si>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</si>
  <si>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</si>
  <si>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</si>
  <si>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</si>
  <si>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</si>
  <si>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</si>
  <si>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</si>
  <si>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</si>
  <si>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</si>
  <si>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</si>
  <si>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</si>
  <si>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</si>
  <si>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</si>
  <si>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</si>
  <si>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</si>
  <si>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</si>
  <si>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</si>
  <si>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</si>
  <si>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</si>
  <si>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</si>
  <si>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</si>
  <si>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</si>
  <si>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</si>
  <si>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</si>
  <si>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</si>
  <si>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</si>
  <si>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</si>
  <si>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</si>
  <si>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</si>
  <si>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</si>
  <si>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</si>
  <si>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</si>
  <si>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</si>
  <si>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</si>
  <si>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</si>
  <si>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</si>
  <si>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</si>
  <si>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</si>
  <si>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</si>
  <si>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</si>
  <si>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</si>
  <si>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</si>
  <si>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</si>
  <si>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</si>
  <si>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</si>
  <si>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</si>
  <si>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</si>
  <si>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</si>
  <si>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</si>
  <si>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</si>
  <si>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</si>
  <si>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</si>
  <si>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</si>
  <si>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</si>
  <si>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</si>
  <si>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</si>
  <si>
    <t>Tank should contain 4.8% CH4 in argon (sample IDs assume 5%).</t>
  </si>
  <si>
    <t>081Standard_2.5_a</t>
  </si>
  <si>
    <t>082Standard_10_a</t>
  </si>
  <si>
    <t>083Standard_15_a</t>
  </si>
  <si>
    <t>084Standard_2.5_b</t>
  </si>
  <si>
    <t>085Standard_10_b</t>
  </si>
  <si>
    <t>086Standard_15_b</t>
  </si>
  <si>
    <t>087Standard_2.5_c</t>
  </si>
  <si>
    <t>088Standard_10_c</t>
  </si>
  <si>
    <t>089Standard_15_c</t>
  </si>
  <si>
    <t>Standards mixed 01Dec2016 (11h00 to ) and analysed immediately</t>
  </si>
  <si>
    <t>OK</t>
  </si>
  <si>
    <t>092Standard_15_d</t>
  </si>
  <si>
    <t>090Standard_2.5_d</t>
  </si>
  <si>
    <t>091Standard_10_d</t>
  </si>
  <si>
    <t>Ran out of ultra pure helium to mix standards, so ran 3 replicates of 500ppm Schotty mix.</t>
  </si>
  <si>
    <t>A refill of ultra pure hydrogen cost about 200.000 CRC, ultra pure N2 costs 172.000 CRC</t>
  </si>
  <si>
    <t>083Standard_500_a</t>
  </si>
  <si>
    <t>084Standard_500_b</t>
  </si>
  <si>
    <t>085Standard_500_c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</si>
</sst>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
      <sz val="9"/>
      <color indexed="81"/>
      <name val="Tahoma"/>
      <charset val="1"/>
    </font>
    <font>
      <b/>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45">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5" fontId="0" fillId="0" borderId="3" xfId="0" applyNumberFormat="1" applyFill="1" applyBorder="1" applyAlignment="1" applyProtection="1">
      <alignment horizontal="center"/>
      <protection locked="0"/>
    </xf>
    <xf numFmtId="165" fontId="0" fillId="0" borderId="4" xfId="0" applyNumberFormat="1" applyFill="1" applyBorder="1" applyAlignment="1" applyProtection="1">
      <alignment horizontal="center"/>
      <protection locked="0"/>
    </xf>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14" xfId="0" applyNumberFormat="1" applyFill="1" applyBorder="1" applyAlignment="1">
      <alignment horizontal="center"/>
    </xf>
    <xf numFmtId="166" fontId="0" fillId="0" borderId="0" xfId="0" applyNumberFormat="1" applyFill="1" applyBorder="1" applyAlignment="1">
      <alignment horizontal="center"/>
    </xf>
    <xf numFmtId="165" fontId="0" fillId="5" borderId="0" xfId="0" applyNumberFormat="1" applyFill="1" applyBorder="1" applyAlignment="1" applyProtection="1">
      <alignment horizontal="center"/>
      <protection locked="0"/>
    </xf>
    <xf numFmtId="165" fontId="0" fillId="5" borderId="21" xfId="0" applyNumberFormat="1" applyFill="1" applyBorder="1" applyAlignment="1" applyProtection="1">
      <alignment horizontal="center"/>
      <protection locked="0"/>
    </xf>
    <xf numFmtId="0" fontId="0" fillId="0" borderId="0" xfId="0" applyFill="1" applyBorder="1" applyAlignment="1">
      <alignment horizontal="center"/>
    </xf>
    <xf numFmtId="166" fontId="0" fillId="0" borderId="0" xfId="0" applyNumberFormat="1" applyBorder="1" applyAlignment="1">
      <alignment horizontal="center"/>
    </xf>
    <xf numFmtId="0" fontId="0" fillId="0" borderId="0" xfId="0" applyBorder="1"/>
    <xf numFmtId="165" fontId="0" fillId="5" borderId="6" xfId="0" applyNumberFormat="1" applyFill="1" applyBorder="1" applyAlignment="1" applyProtection="1">
      <alignment horizontal="center"/>
      <protection locked="0"/>
    </xf>
    <xf numFmtId="165" fontId="0" fillId="5" borderId="16" xfId="0" applyNumberFormat="1" applyFill="1" applyBorder="1" applyAlignment="1" applyProtection="1">
      <alignment horizontal="center"/>
      <protection locked="0"/>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8.8008967629046364E-2"/>
                  <c:y val="-0.10103775131508294"/>
                </c:manualLayout>
              </c:layout>
              <c:numFmt formatCode="General" sourceLinked="0"/>
            </c:trendlineLbl>
          </c:trendline>
          <c:xVal>
            <c:numRef>
              <c:f>StandardsA!$C$4:$C$15</c:f>
              <c:numCache>
                <c:formatCode>0.00</c:formatCode>
                <c:ptCount val="12"/>
                <c:pt idx="0">
                  <c:v>2.4</c:v>
                </c:pt>
                <c:pt idx="1">
                  <c:v>2.4</c:v>
                </c:pt>
                <c:pt idx="2">
                  <c:v>2.4</c:v>
                </c:pt>
                <c:pt idx="3">
                  <c:v>9.6</c:v>
                </c:pt>
                <c:pt idx="4">
                  <c:v>9.6</c:v>
                </c:pt>
                <c:pt idx="5">
                  <c:v>9.6</c:v>
                </c:pt>
                <c:pt idx="6" formatCode="General">
                  <c:v>14.4</c:v>
                </c:pt>
                <c:pt idx="7" formatCode="General">
                  <c:v>14.4</c:v>
                </c:pt>
                <c:pt idx="8" formatCode="General">
                  <c:v>14.4</c:v>
                </c:pt>
                <c:pt idx="9" formatCode="General">
                  <c:v>2.4</c:v>
                </c:pt>
                <c:pt idx="10" formatCode="General">
                  <c:v>9.6</c:v>
                </c:pt>
                <c:pt idx="11" formatCode="General">
                  <c:v>14.4</c:v>
                </c:pt>
              </c:numCache>
            </c:numRef>
          </c:xVal>
          <c:yVal>
            <c:numRef>
              <c:f>StandardsA!$E$4:$E$15</c:f>
              <c:numCache>
                <c:formatCode>0.000</c:formatCode>
                <c:ptCount val="12"/>
                <c:pt idx="0">
                  <c:v>2.09</c:v>
                </c:pt>
                <c:pt idx="1">
                  <c:v>2.0680000000000001</c:v>
                </c:pt>
                <c:pt idx="2">
                  <c:v>2.0870000000000002</c:v>
                </c:pt>
                <c:pt idx="3">
                  <c:v>7.6879999999999997</c:v>
                </c:pt>
                <c:pt idx="4">
                  <c:v>8.0310000000000006</c:v>
                </c:pt>
                <c:pt idx="5">
                  <c:v>8.6300000000000008</c:v>
                </c:pt>
                <c:pt idx="6">
                  <c:v>12.51</c:v>
                </c:pt>
                <c:pt idx="7">
                  <c:v>12.458</c:v>
                </c:pt>
                <c:pt idx="8">
                  <c:v>13.169</c:v>
                </c:pt>
                <c:pt idx="9">
                  <c:v>2.077</c:v>
                </c:pt>
                <c:pt idx="10">
                  <c:v>8.9860000000000007</c:v>
                </c:pt>
                <c:pt idx="11">
                  <c:v>12.925000000000001</c:v>
                </c:pt>
              </c:numCache>
            </c:numRef>
          </c:yVal>
          <c:smooth val="0"/>
        </c:ser>
        <c:dLbls>
          <c:showLegendKey val="0"/>
          <c:showVal val="0"/>
          <c:showCatName val="0"/>
          <c:showSerName val="0"/>
          <c:showPercent val="0"/>
          <c:showBubbleSize val="0"/>
        </c:dLbls>
        <c:axId val="86990208"/>
        <c:axId val="91443968"/>
      </c:scatterChart>
      <c:valAx>
        <c:axId val="86990208"/>
        <c:scaling>
          <c:orientation val="minMax"/>
          <c:max val="18"/>
          <c:min val="0"/>
        </c:scaling>
        <c:delete val="0"/>
        <c:axPos val="b"/>
        <c:title>
          <c:tx>
            <c:rich>
              <a:bodyPr/>
              <a:lstStyle/>
              <a:p>
                <a:pPr>
                  <a:defRPr/>
                </a:pPr>
                <a:r>
                  <a:rPr lang="en-US"/>
                  <a:t>Conc.</a:t>
                </a:r>
                <a:r>
                  <a:rPr lang="en-US" baseline="0"/>
                  <a:t> standard (ppm)</a:t>
                </a:r>
                <a:endParaRPr lang="en-US"/>
              </a:p>
            </c:rich>
          </c:tx>
          <c:overlay val="0"/>
        </c:title>
        <c:numFmt formatCode="0" sourceLinked="0"/>
        <c:majorTickMark val="out"/>
        <c:minorTickMark val="none"/>
        <c:tickLblPos val="nextTo"/>
        <c:crossAx val="91443968"/>
        <c:crosses val="autoZero"/>
        <c:crossBetween val="midCat"/>
        <c:majorUnit val="2"/>
      </c:valAx>
      <c:valAx>
        <c:axId val="91443968"/>
        <c:scaling>
          <c:orientation val="minMax"/>
          <c:max val="18"/>
          <c:min val="0"/>
        </c:scaling>
        <c:delete val="0"/>
        <c:axPos val="l"/>
        <c:title>
          <c:tx>
            <c:rich>
              <a:bodyPr rot="-5400000" vert="horz"/>
              <a:lstStyle/>
              <a:p>
                <a:pPr>
                  <a:defRPr/>
                </a:pPr>
                <a:r>
                  <a:rPr lang="en-US"/>
                  <a:t>Conc.</a:t>
                </a:r>
                <a:r>
                  <a:rPr lang="en-US" baseline="0"/>
                  <a:t> measured (ppm)</a:t>
                </a:r>
                <a:endParaRPr lang="en-US"/>
              </a:p>
            </c:rich>
          </c:tx>
          <c:overlay val="0"/>
        </c:title>
        <c:numFmt formatCode="0" sourceLinked="0"/>
        <c:majorTickMark val="out"/>
        <c:minorTickMark val="none"/>
        <c:tickLblPos val="nextTo"/>
        <c:crossAx val="86990208"/>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8.8008967629046364E-2"/>
                  <c:y val="-0.10103775131508294"/>
                </c:manualLayout>
              </c:layout>
              <c:numFmt formatCode="General" sourceLinked="0"/>
            </c:trendlineLbl>
          </c:trendline>
          <c:xVal>
            <c:numRef>
              <c:f>StandardsB!$C$4:$C$15</c:f>
              <c:numCache>
                <c:formatCode>0.00</c:formatCode>
                <c:ptCount val="12"/>
                <c:pt idx="0">
                  <c:v>500</c:v>
                </c:pt>
                <c:pt idx="1">
                  <c:v>500</c:v>
                </c:pt>
                <c:pt idx="2">
                  <c:v>500</c:v>
                </c:pt>
              </c:numCache>
            </c:numRef>
          </c:xVal>
          <c:yVal>
            <c:numRef>
              <c:f>StandardsB!$E$4:$E$15</c:f>
              <c:numCache>
                <c:formatCode>0.000</c:formatCode>
                <c:ptCount val="12"/>
                <c:pt idx="0">
                  <c:v>447.53399999999999</c:v>
                </c:pt>
                <c:pt idx="1">
                  <c:v>446.24400000000003</c:v>
                </c:pt>
                <c:pt idx="2">
                  <c:v>448.875</c:v>
                </c:pt>
              </c:numCache>
            </c:numRef>
          </c:yVal>
          <c:smooth val="0"/>
        </c:ser>
        <c:dLbls>
          <c:showLegendKey val="0"/>
          <c:showVal val="0"/>
          <c:showCatName val="0"/>
          <c:showSerName val="0"/>
          <c:showPercent val="0"/>
          <c:showBubbleSize val="0"/>
        </c:dLbls>
        <c:axId val="93381760"/>
        <c:axId val="93766784"/>
      </c:scatterChart>
      <c:valAx>
        <c:axId val="93381760"/>
        <c:scaling>
          <c:orientation val="minMax"/>
          <c:max val="600"/>
          <c:min val="0"/>
        </c:scaling>
        <c:delete val="0"/>
        <c:axPos val="b"/>
        <c:title>
          <c:tx>
            <c:rich>
              <a:bodyPr/>
              <a:lstStyle/>
              <a:p>
                <a:pPr>
                  <a:defRPr/>
                </a:pPr>
                <a:r>
                  <a:rPr lang="en-US"/>
                  <a:t>Conc.</a:t>
                </a:r>
                <a:r>
                  <a:rPr lang="en-US" baseline="0"/>
                  <a:t> standard (ppm)</a:t>
                </a:r>
                <a:endParaRPr lang="en-US"/>
              </a:p>
            </c:rich>
          </c:tx>
          <c:overlay val="0"/>
        </c:title>
        <c:numFmt formatCode="0" sourceLinked="0"/>
        <c:majorTickMark val="out"/>
        <c:minorTickMark val="none"/>
        <c:tickLblPos val="nextTo"/>
        <c:crossAx val="93766784"/>
        <c:crosses val="autoZero"/>
        <c:crossBetween val="midCat"/>
        <c:majorUnit val="150"/>
      </c:valAx>
      <c:valAx>
        <c:axId val="93766784"/>
        <c:scaling>
          <c:orientation val="minMax"/>
          <c:max val="600"/>
          <c:min val="0"/>
        </c:scaling>
        <c:delete val="0"/>
        <c:axPos val="l"/>
        <c:title>
          <c:tx>
            <c:rich>
              <a:bodyPr rot="-5400000" vert="horz"/>
              <a:lstStyle/>
              <a:p>
                <a:pPr>
                  <a:defRPr/>
                </a:pPr>
                <a:r>
                  <a:rPr lang="en-US"/>
                  <a:t>Conc.</a:t>
                </a:r>
                <a:r>
                  <a:rPr lang="en-US" baseline="0"/>
                  <a:t> measured (ppm)</a:t>
                </a:r>
                <a:endParaRPr lang="en-US"/>
              </a:p>
            </c:rich>
          </c:tx>
          <c:overlay val="0"/>
        </c:title>
        <c:numFmt formatCode="0" sourceLinked="0"/>
        <c:majorTickMark val="out"/>
        <c:minorTickMark val="none"/>
        <c:tickLblPos val="nextTo"/>
        <c:crossAx val="93381760"/>
        <c:crosses val="autoZero"/>
        <c:crossBetween val="midCat"/>
        <c:majorUnit val="150"/>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-2.1393838465485208E-4</c:v>
                </c:pt>
                <c:pt idx="1">
                  <c:v>-1.9982586568151241E-2</c:v>
                </c:pt>
                <c:pt idx="2">
                  <c:v>-3.2360439637684883E-3</c:v>
                </c:pt>
                <c:pt idx="3">
                  <c:v>1.4562174618679858E-3</c:v>
                </c:pt>
                <c:pt idx="4">
                  <c:v>-3.5909408307247481E-2</c:v>
                </c:pt>
                <c:pt idx="5">
                  <c:v>-3.0194498741113414E-2</c:v>
                </c:pt>
                <c:pt idx="6">
                  <c:v>-2.7251596477126657E-2</c:v>
                </c:pt>
                <c:pt idx="7">
                  <c:v>-1.7667037542401731E-2</c:v>
                </c:pt>
                <c:pt idx="8">
                  <c:v>6.0539034504121958E-4</c:v>
                </c:pt>
                <c:pt idx="9">
                  <c:v>-1.6859573366845872E-2</c:v>
                </c:pt>
                <c:pt idx="10">
                  <c:v>3.7345341474658296E-2</c:v>
                </c:pt>
                <c:pt idx="11">
                  <c:v>-8.257825747861261E-2</c:v>
                </c:pt>
                <c:pt idx="12">
                  <c:v>-4.552384998810946E-2</c:v>
                </c:pt>
                <c:pt idx="13">
                  <c:v>-3.8734568334951654E-2</c:v>
                </c:pt>
                <c:pt idx="14">
                  <c:v>-3.4296149308779306E-2</c:v>
                </c:pt>
                <c:pt idx="15">
                  <c:v>2.5896776182372811E-2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-1.3360717012003049E-3</c:v>
                </c:pt>
                <c:pt idx="1">
                  <c:v>2.5648854923991113E-3</c:v>
                </c:pt>
                <c:pt idx="2">
                  <c:v>6.8805548025886749E-3</c:v>
                </c:pt>
                <c:pt idx="3">
                  <c:v>5.1726741487988217E-3</c:v>
                </c:pt>
                <c:pt idx="4">
                  <c:v>-1.4317716863101805E-2</c:v>
                </c:pt>
                <c:pt idx="5">
                  <c:v>1.3201021187035662E-2</c:v>
                </c:pt>
                <c:pt idx="6">
                  <c:v>-2.6014176954293283E-2</c:v>
                </c:pt>
                <c:pt idx="7">
                  <c:v>-7.6290424370374912E-3</c:v>
                </c:pt>
                <c:pt idx="8">
                  <c:v>-3.2517064769587829E-2</c:v>
                </c:pt>
                <c:pt idx="9">
                  <c:v>-2.3560645000602863E-2</c:v>
                </c:pt>
                <c:pt idx="10">
                  <c:v>-2.4448961959531411E-2</c:v>
                </c:pt>
                <c:pt idx="11">
                  <c:v>-5.357524462072278E-2</c:v>
                </c:pt>
                <c:pt idx="12">
                  <c:v>-1.6649373211740596E-2</c:v>
                </c:pt>
                <c:pt idx="13">
                  <c:v>-8.2094076104762322E-3</c:v>
                </c:pt>
                <c:pt idx="14">
                  <c:v>7.3727587690555971E-3</c:v>
                </c:pt>
                <c:pt idx="15">
                  <c:v>-9.833715436737148E-3</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-2.1433925116313618E-2</c:v>
                </c:pt>
                <c:pt idx="1">
                  <c:v>-2.140970500228688E-2</c:v>
                </c:pt>
                <c:pt idx="2">
                  <c:v>-6.2768213613597764E-3</c:v>
                </c:pt>
                <c:pt idx="3">
                  <c:v>-2.9230466914340674E-3</c:v>
                </c:pt>
                <c:pt idx="4">
                  <c:v>-9.3673783916952066E-3</c:v>
                </c:pt>
                <c:pt idx="5">
                  <c:v>-2.8045030133424229E-2</c:v>
                </c:pt>
                <c:pt idx="6">
                  <c:v>-1.1849071948594208E-2</c:v>
                </c:pt>
                <c:pt idx="7">
                  <c:v>5.4627213880529312E-3</c:v>
                </c:pt>
              </c:numCache>
            </c:numRef>
          </c:yVal>
          <c:smooth val="0"/>
        </c:ser>
        <c:dLbls>
          <c:showLegendKey val="0"/>
          <c:showVal val="0"/>
          <c:showCatName val="0"/>
          <c:showSerName val="0"/>
          <c:showPercent val="0"/>
          <c:showBubbleSize val="0"/>
        </c:dLbls>
        <c:axId val="99446144"/>
        <c:axId val="87155072"/>
      </c:scatterChart>
      <c:valAx>
        <c:axId val="99446144"/>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overlay val="0"/>
        </c:title>
        <c:numFmt formatCode="#,##0.00" sourceLinked="0"/>
        <c:majorTickMark val="out"/>
        <c:minorTickMark val="none"/>
        <c:tickLblPos val="nextTo"/>
        <c:crossAx val="87155072"/>
        <c:crosses val="max"/>
        <c:crossBetween val="midCat"/>
        <c:majorUnit val="5.000000000000001E-2"/>
        <c:minorUnit val="1.0000000000000002E-2"/>
      </c:valAx>
      <c:valAx>
        <c:axId val="87155072"/>
        <c:scaling>
          <c:orientation val="maxMin"/>
          <c:max val="5.000000000000001E-2"/>
          <c:min val="-0.1"/>
        </c:scaling>
        <c:delete val="0"/>
        <c:axPos val="l"/>
        <c:title>
          <c:tx>
            <c:rich>
              <a:bodyPr rot="-5400000" vert="horz"/>
              <a:lstStyle/>
              <a:p>
                <a:pPr>
                  <a:defRPr/>
                </a:pPr>
                <a:r>
                  <a:rPr lang="en-US" sz="1000" b="1" i="0" u="none" strike="noStrike" baseline="0">
                    <a:effectLst/>
                  </a:rPr>
                  <a:t>CH4 flux Sep (umol.m-2.min-1)</a:t>
                </a:r>
                <a:endParaRPr lang="en-US"/>
              </a:p>
            </c:rich>
          </c:tx>
          <c:overlay val="0"/>
        </c:title>
        <c:numFmt formatCode="0.00" sourceLinked="0"/>
        <c:majorTickMark val="out"/>
        <c:minorTickMark val="none"/>
        <c:tickLblPos val="nextTo"/>
        <c:crossAx val="99446144"/>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9049004133619299"/>
                  <c:y val="0.21750416971107708"/>
                </c:manualLayout>
              </c:layout>
              <c:numFmt formatCode="General" sourceLinked="0"/>
            </c:trendlineLbl>
          </c:trendline>
          <c:xVal>
            <c:numRef>
              <c:f>Fluxes!$S$4:$S$19</c:f>
              <c:numCache>
                <c:formatCode>0.0</c:formatCode>
                <c:ptCount val="16"/>
                <c:pt idx="0">
                  <c:v>54.3</c:v>
                </c:pt>
                <c:pt idx="1">
                  <c:v>54</c:v>
                </c:pt>
                <c:pt idx="2">
                  <c:v>52.4</c:v>
                </c:pt>
                <c:pt idx="3">
                  <c:v>52</c:v>
                </c:pt>
                <c:pt idx="4">
                  <c:v>49.2</c:v>
                </c:pt>
                <c:pt idx="5">
                  <c:v>49</c:v>
                </c:pt>
                <c:pt idx="6">
                  <c:v>54.5</c:v>
                </c:pt>
                <c:pt idx="7">
                  <c:v>53.6</c:v>
                </c:pt>
                <c:pt idx="8">
                  <c:v>55.1</c:v>
                </c:pt>
                <c:pt idx="9">
                  <c:v>52.2</c:v>
                </c:pt>
                <c:pt idx="10">
                  <c:v>51.5</c:v>
                </c:pt>
                <c:pt idx="11">
                  <c:v>52.6</c:v>
                </c:pt>
                <c:pt idx="12">
                  <c:v>53.2</c:v>
                </c:pt>
                <c:pt idx="13">
                  <c:v>50.2</c:v>
                </c:pt>
                <c:pt idx="14">
                  <c:v>54.3</c:v>
                </c:pt>
                <c:pt idx="15">
                  <c:v>51.7</c:v>
                </c:pt>
              </c:numCache>
            </c:numRef>
          </c:xVal>
          <c:yVal>
            <c:numRef>
              <c:f>Fluxes!$T$4:$T$19</c:f>
              <c:numCache>
                <c:formatCode>0.000</c:formatCode>
                <c:ptCount val="16"/>
                <c:pt idx="0">
                  <c:v>-2.1393838465485208E-4</c:v>
                </c:pt>
                <c:pt idx="1">
                  <c:v>-1.9982586568151241E-2</c:v>
                </c:pt>
                <c:pt idx="2">
                  <c:v>-3.2360439637684883E-3</c:v>
                </c:pt>
                <c:pt idx="3">
                  <c:v>1.4562174618679858E-3</c:v>
                </c:pt>
                <c:pt idx="4">
                  <c:v>-3.5909408307247481E-2</c:v>
                </c:pt>
                <c:pt idx="5">
                  <c:v>-3.0194498741113414E-2</c:v>
                </c:pt>
                <c:pt idx="6">
                  <c:v>-2.7251596477126657E-2</c:v>
                </c:pt>
                <c:pt idx="7">
                  <c:v>-1.7667037542401731E-2</c:v>
                </c:pt>
                <c:pt idx="8">
                  <c:v>6.0539034504121958E-4</c:v>
                </c:pt>
                <c:pt idx="9">
                  <c:v>-1.6859573366845872E-2</c:v>
                </c:pt>
                <c:pt idx="10">
                  <c:v>3.7345341474658296E-2</c:v>
                </c:pt>
                <c:pt idx="11">
                  <c:v>-8.257825747861261E-2</c:v>
                </c:pt>
                <c:pt idx="12">
                  <c:v>-4.552384998810946E-2</c:v>
                </c:pt>
                <c:pt idx="13">
                  <c:v>-3.8734568334951654E-2</c:v>
                </c:pt>
                <c:pt idx="14">
                  <c:v>-3.4296149308779306E-2</c:v>
                </c:pt>
                <c:pt idx="15">
                  <c:v>2.5896776182372811E-2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527454652023016"/>
                  <c:y val="0.10030536567746444"/>
                </c:manualLayout>
              </c:layout>
              <c:numFmt formatCode="General" sourceLinked="0"/>
            </c:trendlineLbl>
          </c:trendline>
          <c:xVal>
            <c:numRef>
              <c:f>Fluxes!$S$20:$S$35</c:f>
              <c:numCache>
                <c:formatCode>0.0</c:formatCode>
                <c:ptCount val="16"/>
                <c:pt idx="0">
                  <c:v>53.9</c:v>
                </c:pt>
                <c:pt idx="1">
                  <c:v>53.8</c:v>
                </c:pt>
                <c:pt idx="2">
                  <c:v>53.4</c:v>
                </c:pt>
                <c:pt idx="3">
                  <c:v>54.3</c:v>
                </c:pt>
                <c:pt idx="4">
                  <c:v>51.8</c:v>
                </c:pt>
                <c:pt idx="5">
                  <c:v>55.9</c:v>
                </c:pt>
                <c:pt idx="6">
                  <c:v>44.9</c:v>
                </c:pt>
                <c:pt idx="7">
                  <c:v>51.5</c:v>
                </c:pt>
                <c:pt idx="8">
                  <c:v>48.5</c:v>
                </c:pt>
                <c:pt idx="9">
                  <c:v>51</c:v>
                </c:pt>
                <c:pt idx="10">
                  <c:v>45.7</c:v>
                </c:pt>
                <c:pt idx="11">
                  <c:v>46.9</c:v>
                </c:pt>
                <c:pt idx="12">
                  <c:v>40.799999999999997</c:v>
                </c:pt>
                <c:pt idx="13">
                  <c:v>55.3</c:v>
                </c:pt>
                <c:pt idx="14">
                  <c:v>51.5</c:v>
                </c:pt>
                <c:pt idx="15">
                  <c:v>54.3</c:v>
                </c:pt>
              </c:numCache>
            </c:numRef>
          </c:xVal>
          <c:yVal>
            <c:numRef>
              <c:f>Fluxes!$T$20:$T$35</c:f>
              <c:numCache>
                <c:formatCode>0.000</c:formatCode>
                <c:ptCount val="16"/>
                <c:pt idx="0">
                  <c:v>-1.3360717012003049E-3</c:v>
                </c:pt>
                <c:pt idx="1">
                  <c:v>2.5648854923991113E-3</c:v>
                </c:pt>
                <c:pt idx="2">
                  <c:v>6.8805548025886749E-3</c:v>
                </c:pt>
                <c:pt idx="3">
                  <c:v>5.1726741487988217E-3</c:v>
                </c:pt>
                <c:pt idx="4">
                  <c:v>-1.4317716863101805E-2</c:v>
                </c:pt>
                <c:pt idx="5">
                  <c:v>1.3201021187035662E-2</c:v>
                </c:pt>
                <c:pt idx="6">
                  <c:v>-2.6014176954293283E-2</c:v>
                </c:pt>
                <c:pt idx="7">
                  <c:v>-7.6290424370374912E-3</c:v>
                </c:pt>
                <c:pt idx="8">
                  <c:v>-3.2517064769587829E-2</c:v>
                </c:pt>
                <c:pt idx="9">
                  <c:v>-2.3560645000602863E-2</c:v>
                </c:pt>
                <c:pt idx="10">
                  <c:v>-2.4448961959531411E-2</c:v>
                </c:pt>
                <c:pt idx="11">
                  <c:v>-5.357524462072278E-2</c:v>
                </c:pt>
                <c:pt idx="12">
                  <c:v>-1.6649373211740596E-2</c:v>
                </c:pt>
                <c:pt idx="13">
                  <c:v>-8.2094076104762322E-3</c:v>
                </c:pt>
                <c:pt idx="14">
                  <c:v>7.3727587690555971E-3</c:v>
                </c:pt>
                <c:pt idx="15">
                  <c:v>-9.833715436737148E-3</c:v>
                </c:pt>
              </c:numCache>
            </c:numRef>
          </c:yVal>
          <c:smooth val="0"/>
        </c:ser>
        <c:ser>
          <c:idx val="2"/>
          <c:order val="2"/>
          <c:tx>
            <c:v>OTHER</c:v>
          </c:tx>
          <c:spPr>
            <a:ln w="28575">
              <a:noFill/>
            </a:ln>
          </c:spPr>
          <c:xVal>
            <c:numRef>
              <c:f>Fluxes!$S$36:$S$43</c:f>
              <c:numCache>
                <c:formatCode>0.0</c:formatCode>
                <c:ptCount val="8"/>
                <c:pt idx="0">
                  <c:v>53.5</c:v>
                </c:pt>
                <c:pt idx="1">
                  <c:v>54.9</c:v>
                </c:pt>
                <c:pt idx="2">
                  <c:v>53.1</c:v>
                </c:pt>
                <c:pt idx="3">
                  <c:v>52.9</c:v>
                </c:pt>
                <c:pt idx="4">
                  <c:v>54.5</c:v>
                </c:pt>
                <c:pt idx="5">
                  <c:v>48.9</c:v>
                </c:pt>
                <c:pt idx="6">
                  <c:v>54.7</c:v>
                </c:pt>
                <c:pt idx="7">
                  <c:v>46.9</c:v>
                </c:pt>
              </c:numCache>
            </c:numRef>
          </c:xVal>
          <c:yVal>
            <c:numRef>
              <c:f>Fluxes!$T$36:$T$43</c:f>
              <c:numCache>
                <c:formatCode>0.000</c:formatCode>
                <c:ptCount val="8"/>
                <c:pt idx="0">
                  <c:v>-2.1433925116313618E-2</c:v>
                </c:pt>
                <c:pt idx="1">
                  <c:v>-2.140970500228688E-2</c:v>
                </c:pt>
                <c:pt idx="2">
                  <c:v>-6.2768213613597764E-3</c:v>
                </c:pt>
                <c:pt idx="3">
                  <c:v>-2.9230466914340674E-3</c:v>
                </c:pt>
                <c:pt idx="4">
                  <c:v>-9.3673783916952066E-3</c:v>
                </c:pt>
                <c:pt idx="5">
                  <c:v>-2.8045030133424229E-2</c:v>
                </c:pt>
                <c:pt idx="6">
                  <c:v>-1.1849071948594208E-2</c:v>
                </c:pt>
                <c:pt idx="7">
                  <c:v>5.4627213880529312E-3</c:v>
                </c:pt>
              </c:numCache>
            </c:numRef>
          </c:yVal>
          <c:smooth val="0"/>
        </c:ser>
        <c:dLbls>
          <c:showLegendKey val="0"/>
          <c:showVal val="0"/>
          <c:showCatName val="0"/>
          <c:showSerName val="0"/>
          <c:showPercent val="0"/>
          <c:showBubbleSize val="0"/>
        </c:dLbls>
        <c:axId val="87178240"/>
        <c:axId val="87196800"/>
      </c:scatterChart>
      <c:valAx>
        <c:axId val="87178240"/>
        <c:scaling>
          <c:orientation val="minMax"/>
          <c:max val="65"/>
          <c:min val="15"/>
        </c:scaling>
        <c:delete val="0"/>
        <c:axPos val="b"/>
        <c:title>
          <c:tx>
            <c:rich>
              <a:bodyPr/>
              <a:lstStyle/>
              <a:p>
                <a:pPr>
                  <a:defRPr/>
                </a:pPr>
                <a:r>
                  <a:rPr lang="en-US"/>
                  <a:t>Soil</a:t>
                </a:r>
                <a:r>
                  <a:rPr lang="en-US" baseline="0"/>
                  <a:t> VWC (%)</a:t>
                </a:r>
                <a:endParaRPr lang="en-US"/>
              </a:p>
            </c:rich>
          </c:tx>
          <c:overlay val="0"/>
        </c:title>
        <c:numFmt formatCode="#,##0.00" sourceLinked="0"/>
        <c:majorTickMark val="out"/>
        <c:minorTickMark val="none"/>
        <c:tickLblPos val="nextTo"/>
        <c:crossAx val="87196800"/>
        <c:crosses val="max"/>
        <c:crossBetween val="midCat"/>
        <c:majorUnit val="10"/>
        <c:minorUnit val="1.0000000000000002E-2"/>
      </c:valAx>
      <c:valAx>
        <c:axId val="87196800"/>
        <c:scaling>
          <c:orientation val="maxMin"/>
          <c:max val="0.15000000000000002"/>
          <c:min val="-0.15000000000000002"/>
        </c:scaling>
        <c:delete val="0"/>
        <c:axPos val="l"/>
        <c:title>
          <c:tx>
            <c:rich>
              <a:bodyPr rot="-5400000" vert="horz"/>
              <a:lstStyle/>
              <a:p>
                <a:pPr>
                  <a:defRPr/>
                </a:pPr>
                <a:r>
                  <a:rPr lang="en-US" sz="1000" b="1" i="0" u="none" strike="noStrike" baseline="0">
                    <a:effectLst/>
                  </a:rPr>
                  <a:t>CH4 flux July (umol.m-2.min-1)</a:t>
                </a:r>
                <a:endParaRPr lang="en-US"/>
              </a:p>
            </c:rich>
          </c:tx>
          <c:overlay val="0"/>
        </c:title>
        <c:numFmt formatCode="0.00" sourceLinked="0"/>
        <c:majorTickMark val="out"/>
        <c:minorTickMark val="none"/>
        <c:tickLblPos val="nextTo"/>
        <c:crossAx val="87178240"/>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476250</xdr:colOff>
      <xdr:row>4</xdr:row>
      <xdr:rowOff>166686</xdr:rowOff>
    </xdr:from>
    <xdr:to>
      <xdr:col>16</xdr:col>
      <xdr:colOff>171450</xdr:colOff>
      <xdr:row>22</xdr:row>
      <xdr:rowOff>66674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476250</xdr:colOff>
      <xdr:row>4</xdr:row>
      <xdr:rowOff>166686</xdr:rowOff>
    </xdr:from>
    <xdr:to>
      <xdr:col>16</xdr:col>
      <xdr:colOff>171450</xdr:colOff>
      <xdr:row>22</xdr:row>
      <xdr:rowOff>66674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68">
        <v>314.16000000000003</v>
      </c>
      <c r="D23" t="s">
        <v>56</v>
      </c>
    </row>
    <row r="24" spans="2:4" x14ac:dyDescent="0.25">
      <c r="B24" t="s">
        <v>64</v>
      </c>
      <c r="C24" s="68">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5"/>
  <sheetViews>
    <sheetView tabSelected="1" zoomScale="70" zoomScaleNormal="70" workbookViewId="0">
      <pane xSplit="1" ySplit="3" topLeftCell="B12" activePane="bottomRight" state="frozen"/>
      <selection pane="topRight" activeCell="B1" sqref="B1"/>
      <selection pane="bottomLeft" activeCell="A4" sqref="A4"/>
      <selection pane="bottomRight" activeCell="B4" sqref="B4:V43"/>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09" bestFit="1" customWidth="1"/>
  </cols>
  <sheetData>
    <row r="1" spans="1:24" s="35" customFormat="1" x14ac:dyDescent="0.25">
      <c r="A1" s="30" t="s">
        <v>0</v>
      </c>
      <c r="B1" s="142" t="s">
        <v>1</v>
      </c>
      <c r="C1" s="143"/>
      <c r="D1" s="143"/>
      <c r="E1" s="144"/>
      <c r="F1" s="31" t="s">
        <v>3</v>
      </c>
      <c r="G1" s="142" t="s">
        <v>7</v>
      </c>
      <c r="H1" s="143"/>
      <c r="I1" s="143"/>
      <c r="J1" s="144"/>
      <c r="K1" s="139" t="s">
        <v>60</v>
      </c>
      <c r="L1" s="140"/>
      <c r="M1" s="140"/>
      <c r="N1" s="141"/>
      <c r="O1" s="32" t="s">
        <v>11</v>
      </c>
      <c r="P1" s="33" t="s">
        <v>54</v>
      </c>
      <c r="Q1" s="31" t="s">
        <v>58</v>
      </c>
      <c r="R1" s="31" t="s">
        <v>65</v>
      </c>
      <c r="S1" s="31" t="s">
        <v>66</v>
      </c>
      <c r="T1" s="33" t="s">
        <v>13</v>
      </c>
      <c r="U1" s="32" t="s">
        <v>13</v>
      </c>
      <c r="V1" s="33" t="s">
        <v>93</v>
      </c>
      <c r="X1" s="101"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02"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03" t="s">
        <v>92</v>
      </c>
    </row>
    <row r="4" spans="1:24" x14ac:dyDescent="0.25">
      <c r="A4" s="24" t="s">
        <v>14</v>
      </c>
      <c r="B4" s="69">
        <v>75</v>
      </c>
      <c r="C4" s="70">
        <v>74</v>
      </c>
      <c r="D4" s="70">
        <v>70</v>
      </c>
      <c r="E4" s="71">
        <v>68</v>
      </c>
      <c r="F4" s="72">
        <f>(META!C$24+AVERAGE(B4:E4)/10*META!C$23)</f>
        <v>6542.098</v>
      </c>
      <c r="G4" s="69">
        <v>0</v>
      </c>
      <c r="H4" s="70">
        <v>20</v>
      </c>
      <c r="I4" s="70">
        <v>40</v>
      </c>
      <c r="J4" s="71"/>
      <c r="K4" s="116">
        <v>1.617</v>
      </c>
      <c r="L4" s="117">
        <v>1.5940000000000001</v>
      </c>
      <c r="M4" s="117">
        <v>1.6160000000000001</v>
      </c>
      <c r="N4" s="73"/>
      <c r="O4" s="17">
        <f t="shared" ref="O4:O35" si="0">SLOPE(K4:N4,G4:J4)</f>
        <v>-2.4999999999997247E-5</v>
      </c>
      <c r="P4" s="8">
        <f t="shared" ref="P4:P35" si="1">RSQ(K4:N4,G4:J4)</f>
        <v>1.4792899408280818E-3</v>
      </c>
      <c r="Q4" s="125">
        <v>23.4</v>
      </c>
      <c r="R4" s="125">
        <v>24.4</v>
      </c>
      <c r="S4" s="125">
        <v>54.3</v>
      </c>
      <c r="T4" s="8">
        <f>O4*F4*101.325/8.3145/META!C$23/(273.15+Fluxes!Q4)*10</f>
        <v>-2.1393838465485208E-4</v>
      </c>
      <c r="U4" s="17">
        <f>T4/1000*12*60</f>
        <v>-1.5403563695149351E-4</v>
      </c>
      <c r="V4" s="94">
        <v>3.2481212150727168</v>
      </c>
      <c r="X4" s="104">
        <v>-4.2265379108024831E-2</v>
      </c>
    </row>
    <row r="5" spans="1:24" x14ac:dyDescent="0.25">
      <c r="A5" s="25" t="s">
        <v>15</v>
      </c>
      <c r="B5" s="74">
        <v>77</v>
      </c>
      <c r="C5" s="75">
        <v>75</v>
      </c>
      <c r="D5" s="75">
        <v>82</v>
      </c>
      <c r="E5" s="76">
        <v>75</v>
      </c>
      <c r="F5" s="77">
        <f>(META!C$24+AVERAGE(B5:E5)/10*META!C$23)</f>
        <v>6714.8860000000004</v>
      </c>
      <c r="G5" s="74">
        <v>0</v>
      </c>
      <c r="H5" s="75">
        <v>20</v>
      </c>
      <c r="I5" s="75">
        <v>40</v>
      </c>
      <c r="J5" s="76"/>
      <c r="K5" s="118">
        <v>1.6339999999999999</v>
      </c>
      <c r="L5" s="119">
        <v>1.637</v>
      </c>
      <c r="M5" s="119">
        <v>1.5429999999999999</v>
      </c>
      <c r="N5" s="78"/>
      <c r="O5" s="18">
        <f t="shared" si="0"/>
        <v>-2.2749999999999992E-3</v>
      </c>
      <c r="P5" s="6">
        <f t="shared" si="1"/>
        <v>0.72530071236716021</v>
      </c>
      <c r="Q5" s="126">
        <v>23.4</v>
      </c>
      <c r="R5" s="126">
        <v>24.4</v>
      </c>
      <c r="S5" s="126">
        <v>54</v>
      </c>
      <c r="T5" s="6">
        <f>O5*F5*101.325/8.3145/META!C$23/(273.15+Fluxes!Q5)*10</f>
        <v>-1.9982586568151241E-2</v>
      </c>
      <c r="U5" s="18">
        <f t="shared" ref="U5:U43" si="2">T5/1000*12*60</f>
        <v>-1.4387462329068894E-2</v>
      </c>
      <c r="V5" s="95">
        <v>3.3404211953404515</v>
      </c>
      <c r="X5" s="105">
        <v>0.14233468101348509</v>
      </c>
    </row>
    <row r="6" spans="1:24" x14ac:dyDescent="0.25">
      <c r="A6" s="25" t="s">
        <v>16</v>
      </c>
      <c r="B6" s="74">
        <v>80</v>
      </c>
      <c r="C6" s="75">
        <v>71</v>
      </c>
      <c r="D6" s="75">
        <v>79</v>
      </c>
      <c r="E6" s="76">
        <v>64</v>
      </c>
      <c r="F6" s="77">
        <f>(META!C$24+AVERAGE(B6:E6)/10*META!C$23)</f>
        <v>6597.076</v>
      </c>
      <c r="G6" s="74">
        <v>0</v>
      </c>
      <c r="H6" s="75">
        <v>20</v>
      </c>
      <c r="I6" s="75">
        <v>40</v>
      </c>
      <c r="J6" s="76"/>
      <c r="K6" s="118">
        <v>1.6160000000000001</v>
      </c>
      <c r="L6" s="119">
        <v>1.5629999999999999</v>
      </c>
      <c r="M6" s="119">
        <v>1.601</v>
      </c>
      <c r="N6" s="78"/>
      <c r="O6" s="18">
        <f t="shared" si="0"/>
        <v>-3.750000000000031E-4</v>
      </c>
      <c r="P6" s="6">
        <f t="shared" si="1"/>
        <v>7.5368468066101812E-2</v>
      </c>
      <c r="Q6" s="126">
        <v>23.4</v>
      </c>
      <c r="R6" s="126">
        <v>24.7</v>
      </c>
      <c r="S6" s="126">
        <v>52.4</v>
      </c>
      <c r="T6" s="6">
        <f>O6*F6*101.325/8.3145/META!C$23/(273.15+Fluxes!Q6)*10</f>
        <v>-3.2360439637684883E-3</v>
      </c>
      <c r="U6" s="18">
        <f t="shared" si="2"/>
        <v>-2.3299516539133113E-3</v>
      </c>
      <c r="V6" s="95">
        <v>3.4417473330096442</v>
      </c>
      <c r="X6" s="105">
        <v>-4.7518910665968549E-2</v>
      </c>
    </row>
    <row r="7" spans="1:24" x14ac:dyDescent="0.25">
      <c r="A7" s="26" t="s">
        <v>17</v>
      </c>
      <c r="B7" s="79">
        <v>74</v>
      </c>
      <c r="C7" s="80">
        <v>58</v>
      </c>
      <c r="D7" s="80">
        <v>67</v>
      </c>
      <c r="E7" s="81">
        <v>65</v>
      </c>
      <c r="F7" s="82">
        <f>(META!C$24+AVERAGE(B7:E7)/10*META!C$23)</f>
        <v>6361.4560000000001</v>
      </c>
      <c r="G7" s="79">
        <v>0</v>
      </c>
      <c r="H7" s="80">
        <v>20</v>
      </c>
      <c r="I7" s="80">
        <v>40</v>
      </c>
      <c r="J7" s="81"/>
      <c r="K7" s="120">
        <v>1.615</v>
      </c>
      <c r="L7" s="121">
        <v>1.6</v>
      </c>
      <c r="M7" s="121">
        <v>1.6220000000000001</v>
      </c>
      <c r="N7" s="83"/>
      <c r="O7" s="27">
        <f t="shared" si="0"/>
        <v>1.7500000000000293E-4</v>
      </c>
      <c r="P7" s="28">
        <f t="shared" si="1"/>
        <v>9.6965699208446554E-2</v>
      </c>
      <c r="Q7" s="127">
        <v>23.4</v>
      </c>
      <c r="R7" s="127">
        <v>24.7</v>
      </c>
      <c r="S7" s="127">
        <v>52</v>
      </c>
      <c r="T7" s="28">
        <f>O7*F7*101.325/8.3145/META!C$23/(273.15+Fluxes!Q7)*10</f>
        <v>1.4562174618679858E-3</v>
      </c>
      <c r="U7" s="27">
        <f t="shared" si="2"/>
        <v>1.0484765725449498E-3</v>
      </c>
      <c r="V7" s="96">
        <v>2.2380460980444137</v>
      </c>
      <c r="X7" s="106">
        <v>1.4604111090518661E-2</v>
      </c>
    </row>
    <row r="8" spans="1:24" x14ac:dyDescent="0.25">
      <c r="A8" s="2" t="s">
        <v>18</v>
      </c>
      <c r="B8" s="74">
        <v>77</v>
      </c>
      <c r="C8" s="75">
        <v>73</v>
      </c>
      <c r="D8" s="75">
        <v>88</v>
      </c>
      <c r="E8" s="76">
        <v>90</v>
      </c>
      <c r="F8" s="77">
        <f>(META!C$24+AVERAGE(B8:E8)/10*META!C$23)</f>
        <v>6864.1120000000001</v>
      </c>
      <c r="G8" s="74">
        <v>0</v>
      </c>
      <c r="H8" s="75">
        <v>20</v>
      </c>
      <c r="I8" s="75">
        <v>40</v>
      </c>
      <c r="J8" s="76"/>
      <c r="K8" s="118">
        <v>1.5720000000000001</v>
      </c>
      <c r="L8" s="119">
        <v>1.488</v>
      </c>
      <c r="M8" s="119">
        <v>1.411</v>
      </c>
      <c r="N8" s="78"/>
      <c r="O8" s="18">
        <f t="shared" si="0"/>
        <v>-4.0250000000000008E-3</v>
      </c>
      <c r="P8" s="6">
        <f t="shared" si="1"/>
        <v>0.9993702770780859</v>
      </c>
      <c r="Q8" s="126">
        <v>25.3</v>
      </c>
      <c r="R8" s="126">
        <v>26.4</v>
      </c>
      <c r="S8" s="126">
        <v>49.2</v>
      </c>
      <c r="T8" s="6">
        <f>O8*F8*101.325/8.3145/META!C$23/(273.15+Fluxes!Q8)*10</f>
        <v>-3.5909408307247481E-2</v>
      </c>
      <c r="U8" s="18">
        <f t="shared" si="2"/>
        <v>-2.5854773981218188E-2</v>
      </c>
      <c r="V8" s="95">
        <v>4.8096092939280171</v>
      </c>
      <c r="X8" s="105">
        <v>-5.5846118061734097E-2</v>
      </c>
    </row>
    <row r="9" spans="1:24" x14ac:dyDescent="0.25">
      <c r="A9" s="2" t="s">
        <v>19</v>
      </c>
      <c r="B9" s="74">
        <v>74</v>
      </c>
      <c r="C9" s="75">
        <v>48</v>
      </c>
      <c r="D9" s="75">
        <v>60</v>
      </c>
      <c r="E9" s="76">
        <v>88</v>
      </c>
      <c r="F9" s="77">
        <f>(META!C$24+AVERAGE(B9:E9)/10*META!C$23)</f>
        <v>6408.58</v>
      </c>
      <c r="G9" s="74">
        <v>0</v>
      </c>
      <c r="H9" s="75">
        <v>20</v>
      </c>
      <c r="I9" s="75">
        <v>40</v>
      </c>
      <c r="J9" s="76"/>
      <c r="K9" s="118">
        <v>1.681</v>
      </c>
      <c r="L9" s="119">
        <v>1.5329999999999999</v>
      </c>
      <c r="M9" s="119">
        <v>1.536</v>
      </c>
      <c r="N9" s="78"/>
      <c r="O9" s="18">
        <f t="shared" si="0"/>
        <v>-3.6250000000000006E-3</v>
      </c>
      <c r="P9" s="6">
        <f t="shared" si="1"/>
        <v>0.73448926358936084</v>
      </c>
      <c r="Q9" s="126">
        <v>25.3</v>
      </c>
      <c r="R9" s="126">
        <v>26.8</v>
      </c>
      <c r="S9" s="126">
        <v>49</v>
      </c>
      <c r="T9" s="6">
        <f>O9*F9*101.325/8.3145/META!C$23/(273.15+Fluxes!Q9)*10</f>
        <v>-3.0194498741113414E-2</v>
      </c>
      <c r="U9" s="18">
        <f t="shared" si="2"/>
        <v>-2.1740039093601657E-2</v>
      </c>
      <c r="V9" s="95">
        <v>4.270594746142546</v>
      </c>
      <c r="X9" s="105">
        <v>-7.1684770173312082E-2</v>
      </c>
    </row>
    <row r="10" spans="1:24" x14ac:dyDescent="0.25">
      <c r="A10" s="2" t="s">
        <v>20</v>
      </c>
      <c r="B10" s="74">
        <v>64</v>
      </c>
      <c r="C10" s="75">
        <v>72</v>
      </c>
      <c r="D10" s="75">
        <v>73</v>
      </c>
      <c r="E10" s="76">
        <v>54</v>
      </c>
      <c r="F10" s="77">
        <f>(META!C$24+AVERAGE(B10:E10)/10*META!C$23)</f>
        <v>6353.6020000000008</v>
      </c>
      <c r="G10" s="74">
        <v>0</v>
      </c>
      <c r="H10" s="75">
        <v>20</v>
      </c>
      <c r="I10" s="75">
        <v>40</v>
      </c>
      <c r="J10" s="76"/>
      <c r="K10" s="118">
        <v>1.61</v>
      </c>
      <c r="L10" s="119">
        <v>1.5109999999999999</v>
      </c>
      <c r="M10" s="119">
        <v>1.478</v>
      </c>
      <c r="N10" s="78"/>
      <c r="O10" s="18">
        <f t="shared" si="0"/>
        <v>-3.300000000000003E-3</v>
      </c>
      <c r="P10" s="6">
        <f t="shared" si="1"/>
        <v>0.92307692307692268</v>
      </c>
      <c r="Q10" s="126">
        <v>25.3</v>
      </c>
      <c r="R10" s="126">
        <v>26.3</v>
      </c>
      <c r="S10" s="126">
        <v>54.5</v>
      </c>
      <c r="T10" s="6">
        <f>O10*F10*101.325/8.3145/META!C$23/(273.15+Fluxes!Q10)*10</f>
        <v>-2.7251596477126657E-2</v>
      </c>
      <c r="U10" s="18">
        <f t="shared" si="2"/>
        <v>-1.9621149463531194E-2</v>
      </c>
      <c r="V10" s="95">
        <v>4.0392793040953192</v>
      </c>
      <c r="X10" s="105">
        <v>-4.2223521912152152E-2</v>
      </c>
    </row>
    <row r="11" spans="1:24" x14ac:dyDescent="0.25">
      <c r="A11" s="29" t="s">
        <v>21</v>
      </c>
      <c r="B11" s="79">
        <v>72</v>
      </c>
      <c r="C11" s="80">
        <v>56</v>
      </c>
      <c r="D11" s="80">
        <v>71</v>
      </c>
      <c r="E11" s="81">
        <v>60</v>
      </c>
      <c r="F11" s="82">
        <f>(META!C$24+AVERAGE(B11:E11)/10*META!C$23)</f>
        <v>6322.1859999999997</v>
      </c>
      <c r="G11" s="79">
        <v>0</v>
      </c>
      <c r="H11" s="80">
        <v>20</v>
      </c>
      <c r="I11" s="80">
        <v>40</v>
      </c>
      <c r="J11" s="81"/>
      <c r="K11" s="120">
        <v>1.62</v>
      </c>
      <c r="L11" s="121">
        <v>1.528</v>
      </c>
      <c r="M11" s="121">
        <v>1.534</v>
      </c>
      <c r="N11" s="83"/>
      <c r="O11" s="27">
        <f t="shared" si="0"/>
        <v>-2.1500000000000017E-3</v>
      </c>
      <c r="P11" s="28">
        <f t="shared" si="1"/>
        <v>0.69791142425767516</v>
      </c>
      <c r="Q11" s="127">
        <v>25.3</v>
      </c>
      <c r="R11" s="127">
        <v>26.1</v>
      </c>
      <c r="S11" s="127">
        <v>53.6</v>
      </c>
      <c r="T11" s="28">
        <f>O11*F11*101.325/8.3145/META!C$23/(273.15+Fluxes!Q11)*10</f>
        <v>-1.7667037542401731E-2</v>
      </c>
      <c r="U11" s="27">
        <f t="shared" si="2"/>
        <v>-1.2720267030529248E-2</v>
      </c>
      <c r="V11" s="96">
        <v>2.2648957711640212</v>
      </c>
      <c r="X11" s="106">
        <v>-3.0671732813415498E-2</v>
      </c>
    </row>
    <row r="12" spans="1:24" x14ac:dyDescent="0.25">
      <c r="A12" s="2" t="s">
        <v>22</v>
      </c>
      <c r="B12" s="74">
        <v>62</v>
      </c>
      <c r="C12" s="75">
        <v>55</v>
      </c>
      <c r="D12" s="75">
        <v>71</v>
      </c>
      <c r="E12" s="76">
        <v>61</v>
      </c>
      <c r="F12" s="77">
        <f>(META!C$24+AVERAGE(B12:E12)/10*META!C$23)</f>
        <v>6243.6459999999997</v>
      </c>
      <c r="G12" s="74">
        <v>0</v>
      </c>
      <c r="H12" s="75">
        <v>20</v>
      </c>
      <c r="I12" s="75">
        <v>40</v>
      </c>
      <c r="J12" s="76"/>
      <c r="K12" s="118">
        <v>1.5660000000000001</v>
      </c>
      <c r="L12" s="119">
        <v>1.6439999999999999</v>
      </c>
      <c r="M12" s="119">
        <v>1.569</v>
      </c>
      <c r="N12" s="78"/>
      <c r="O12" s="18">
        <f t="shared" si="0"/>
        <v>7.4999999999997296E-5</v>
      </c>
      <c r="P12" s="6">
        <f t="shared" si="1"/>
        <v>1.1520737327188138E-3</v>
      </c>
      <c r="Q12" s="126">
        <v>26.9</v>
      </c>
      <c r="R12" s="126">
        <v>26</v>
      </c>
      <c r="S12" s="126">
        <v>55.1</v>
      </c>
      <c r="T12" s="6">
        <f>O12*F12*101.325/8.3145/META!C$23/(273.15+Fluxes!Q12)*10</f>
        <v>6.0539034504121958E-4</v>
      </c>
      <c r="U12" s="18">
        <f t="shared" si="2"/>
        <v>4.3588104842967807E-4</v>
      </c>
      <c r="V12" s="95">
        <v>1.5642039336801636</v>
      </c>
      <c r="X12" s="105">
        <v>-3.1388550145918598E-2</v>
      </c>
    </row>
    <row r="13" spans="1:24" x14ac:dyDescent="0.25">
      <c r="A13" s="2" t="s">
        <v>23</v>
      </c>
      <c r="B13" s="74">
        <v>54</v>
      </c>
      <c r="C13" s="75">
        <v>79</v>
      </c>
      <c r="D13" s="75">
        <v>82</v>
      </c>
      <c r="E13" s="76">
        <v>59</v>
      </c>
      <c r="F13" s="77">
        <f>(META!C$24+AVERAGE(B13:E13)/10*META!C$23)</f>
        <v>6439.9960000000001</v>
      </c>
      <c r="G13" s="74">
        <v>0</v>
      </c>
      <c r="H13" s="75">
        <v>20</v>
      </c>
      <c r="I13" s="75">
        <v>40</v>
      </c>
      <c r="J13" s="76"/>
      <c r="K13" s="118">
        <v>1.5760000000000001</v>
      </c>
      <c r="L13" s="132">
        <v>1.5880000000000001</v>
      </c>
      <c r="M13" s="119">
        <v>1.4950000000000001</v>
      </c>
      <c r="N13" s="78"/>
      <c r="O13" s="18">
        <f t="shared" si="0"/>
        <v>-2.024999999999999E-3</v>
      </c>
      <c r="P13" s="6">
        <f t="shared" si="1"/>
        <v>0.64097303634232117</v>
      </c>
      <c r="Q13" s="126">
        <v>26.9</v>
      </c>
      <c r="R13" s="126">
        <v>26</v>
      </c>
      <c r="S13" s="126">
        <v>52.2</v>
      </c>
      <c r="T13" s="6">
        <f>O13*F13*101.325/8.3145/META!C$23/(273.15+Fluxes!Q13)*10</f>
        <v>-1.6859573366845872E-2</v>
      </c>
      <c r="U13" s="18">
        <f t="shared" si="2"/>
        <v>-1.2138892824129029E-2</v>
      </c>
      <c r="V13" s="95">
        <v>2.9206522636407621</v>
      </c>
      <c r="X13" s="105">
        <v>-1.4159101416247226E-2</v>
      </c>
    </row>
    <row r="14" spans="1:24" x14ac:dyDescent="0.25">
      <c r="A14" s="2" t="s">
        <v>24</v>
      </c>
      <c r="B14" s="74">
        <v>64</v>
      </c>
      <c r="C14" s="75">
        <v>73</v>
      </c>
      <c r="D14" s="75">
        <v>54</v>
      </c>
      <c r="E14" s="76">
        <v>54</v>
      </c>
      <c r="F14" s="77">
        <f>(META!C$24+AVERAGE(B14:E14)/10*META!C$23)</f>
        <v>6212.2300000000005</v>
      </c>
      <c r="G14" s="74">
        <v>0</v>
      </c>
      <c r="H14" s="75">
        <v>20</v>
      </c>
      <c r="I14" s="75">
        <v>40</v>
      </c>
      <c r="J14" s="76"/>
      <c r="K14" s="137">
        <v>1.6639999999999999</v>
      </c>
      <c r="L14" s="119">
        <v>1.7789999999999999</v>
      </c>
      <c r="M14" s="119">
        <v>1.85</v>
      </c>
      <c r="N14" s="78"/>
      <c r="O14" s="18">
        <f t="shared" si="0"/>
        <v>4.650000000000004E-3</v>
      </c>
      <c r="P14" s="6">
        <f t="shared" si="1"/>
        <v>0.98168816919526325</v>
      </c>
      <c r="Q14" s="126">
        <v>26.9</v>
      </c>
      <c r="R14" s="126">
        <v>26.1</v>
      </c>
      <c r="S14" s="126">
        <v>51.5</v>
      </c>
      <c r="T14" s="6">
        <f>O14*F14*101.325/8.3145/META!C$23/(273.15+Fluxes!Q14)*10</f>
        <v>3.7345341474658296E-2</v>
      </c>
      <c r="U14" s="18">
        <f t="shared" si="2"/>
        <v>2.6888645861753976E-2</v>
      </c>
      <c r="V14" s="95">
        <v>2.2958001009986035</v>
      </c>
      <c r="X14" s="105">
        <v>-2.2474067136552912E-2</v>
      </c>
    </row>
    <row r="15" spans="1:24" x14ac:dyDescent="0.25">
      <c r="A15" s="29" t="s">
        <v>25</v>
      </c>
      <c r="B15" s="79">
        <v>78</v>
      </c>
      <c r="C15" s="80">
        <v>73</v>
      </c>
      <c r="D15" s="80">
        <v>61</v>
      </c>
      <c r="E15" s="81">
        <v>87</v>
      </c>
      <c r="F15" s="82">
        <f>(META!C$24+AVERAGE(B15:E15)/10*META!C$23)</f>
        <v>6636.3459999999995</v>
      </c>
      <c r="G15" s="79">
        <v>0</v>
      </c>
      <c r="H15" s="80">
        <v>20</v>
      </c>
      <c r="I15" s="80">
        <v>40</v>
      </c>
      <c r="J15" s="81"/>
      <c r="K15" s="120">
        <v>1.5880000000000001</v>
      </c>
      <c r="L15" s="121">
        <v>1.472</v>
      </c>
      <c r="M15" s="121">
        <v>1.2030000000000001</v>
      </c>
      <c r="N15" s="83"/>
      <c r="O15" s="27">
        <f t="shared" si="0"/>
        <v>-9.6249999999999999E-3</v>
      </c>
      <c r="P15" s="28">
        <f t="shared" si="1"/>
        <v>0.94998974543030756</v>
      </c>
      <c r="Q15" s="127">
        <v>26.9</v>
      </c>
      <c r="R15" s="127">
        <v>26.3</v>
      </c>
      <c r="S15" s="127">
        <v>52.6</v>
      </c>
      <c r="T15" s="28">
        <f>O15*F15*101.325/8.3145/META!C$23/(273.15+Fluxes!Q15)*10</f>
        <v>-8.257825747861261E-2</v>
      </c>
      <c r="U15" s="27">
        <f t="shared" si="2"/>
        <v>-5.9456345384601081E-2</v>
      </c>
      <c r="V15" s="96">
        <v>2.5161401197265509</v>
      </c>
      <c r="X15" s="106">
        <v>-4.7951660890660018E-2</v>
      </c>
    </row>
    <row r="16" spans="1:24" x14ac:dyDescent="0.25">
      <c r="A16" s="2" t="s">
        <v>26</v>
      </c>
      <c r="B16" s="74">
        <v>69</v>
      </c>
      <c r="C16" s="75">
        <v>83</v>
      </c>
      <c r="D16" s="75">
        <v>77</v>
      </c>
      <c r="E16" s="76">
        <v>60</v>
      </c>
      <c r="F16" s="77">
        <f>(META!C$24+AVERAGE(B16:E16)/10*META!C$23)</f>
        <v>6557.8060000000005</v>
      </c>
      <c r="G16" s="74">
        <v>0</v>
      </c>
      <c r="H16" s="75">
        <v>20</v>
      </c>
      <c r="I16" s="75">
        <v>40</v>
      </c>
      <c r="J16" s="76"/>
      <c r="K16" s="118">
        <v>1.623</v>
      </c>
      <c r="L16" s="119">
        <v>1.5509999999999999</v>
      </c>
      <c r="M16" s="119">
        <v>1.4079999999999999</v>
      </c>
      <c r="N16" s="78"/>
      <c r="O16" s="18">
        <f t="shared" si="0"/>
        <v>-5.3750000000000022E-3</v>
      </c>
      <c r="P16" s="6">
        <f t="shared" si="1"/>
        <v>0.96492387764758281</v>
      </c>
      <c r="Q16" s="126">
        <v>27.2</v>
      </c>
      <c r="R16" s="126">
        <v>25.6</v>
      </c>
      <c r="S16" s="126">
        <v>53.2</v>
      </c>
      <c r="T16" s="6">
        <f>O16*F16*101.325/8.3145/META!C$23/(273.15+Fluxes!Q16)*10</f>
        <v>-4.552384998810946E-2</v>
      </c>
      <c r="U16" s="18">
        <f t="shared" si="2"/>
        <v>-3.2777171991438814E-2</v>
      </c>
      <c r="V16" s="95">
        <v>3.3716956384565004</v>
      </c>
      <c r="X16" s="105">
        <v>-0.13488977103987057</v>
      </c>
    </row>
    <row r="17" spans="1:26" x14ac:dyDescent="0.25">
      <c r="A17" s="2" t="s">
        <v>27</v>
      </c>
      <c r="B17" s="74">
        <v>76</v>
      </c>
      <c r="C17" s="75">
        <v>77</v>
      </c>
      <c r="D17" s="75">
        <v>92</v>
      </c>
      <c r="E17" s="76">
        <v>72</v>
      </c>
      <c r="F17" s="77">
        <f>(META!C$24+AVERAGE(B17:E17)/10*META!C$23)</f>
        <v>6777.7180000000008</v>
      </c>
      <c r="G17" s="74">
        <v>0</v>
      </c>
      <c r="H17" s="75">
        <v>20</v>
      </c>
      <c r="I17" s="75">
        <v>40</v>
      </c>
      <c r="J17" s="76"/>
      <c r="K17" s="118">
        <v>1.5820000000000001</v>
      </c>
      <c r="L17" s="119">
        <v>1.5009999999999999</v>
      </c>
      <c r="M17" s="119">
        <v>1.405</v>
      </c>
      <c r="N17" s="78"/>
      <c r="O17" s="18">
        <f t="shared" si="0"/>
        <v>-4.425000000000001E-3</v>
      </c>
      <c r="P17" s="6">
        <f t="shared" si="1"/>
        <v>0.99761176920137551</v>
      </c>
      <c r="Q17" s="126">
        <v>27.2</v>
      </c>
      <c r="R17" s="126">
        <v>25.7</v>
      </c>
      <c r="S17" s="126">
        <v>50.2</v>
      </c>
      <c r="T17" s="6">
        <f>O17*F17*101.325/8.3145/META!C$23/(273.15+Fluxes!Q17)*10</f>
        <v>-3.8734568334951654E-2</v>
      </c>
      <c r="U17" s="18">
        <f t="shared" si="2"/>
        <v>-2.7888889201165196E-2</v>
      </c>
      <c r="V17" s="95">
        <v>2.0908580295868568</v>
      </c>
      <c r="X17" s="105">
        <v>-5.5597115750638679E-2</v>
      </c>
    </row>
    <row r="18" spans="1:26" x14ac:dyDescent="0.25">
      <c r="A18" s="2" t="s">
        <v>28</v>
      </c>
      <c r="B18" s="74">
        <v>73</v>
      </c>
      <c r="C18" s="75">
        <v>80</v>
      </c>
      <c r="D18" s="75">
        <v>87</v>
      </c>
      <c r="E18" s="76">
        <v>70</v>
      </c>
      <c r="F18" s="77">
        <f>(META!C$24+AVERAGE(B18:E18)/10*META!C$23)</f>
        <v>6722.74</v>
      </c>
      <c r="G18" s="74">
        <v>0</v>
      </c>
      <c r="H18" s="75">
        <v>20</v>
      </c>
      <c r="I18" s="75">
        <v>40</v>
      </c>
      <c r="J18" s="76"/>
      <c r="K18" s="118">
        <v>1.637</v>
      </c>
      <c r="L18" s="119">
        <v>1.5229999999999999</v>
      </c>
      <c r="M18" s="119">
        <v>1.4790000000000001</v>
      </c>
      <c r="N18" s="78"/>
      <c r="O18" s="18">
        <f t="shared" si="0"/>
        <v>-3.9499999999999978E-3</v>
      </c>
      <c r="P18" s="6">
        <f t="shared" si="1"/>
        <v>0.93859033487066312</v>
      </c>
      <c r="Q18" s="126">
        <v>27.2</v>
      </c>
      <c r="R18" s="126">
        <v>25.8</v>
      </c>
      <c r="S18" s="126">
        <v>54.3</v>
      </c>
      <c r="T18" s="6">
        <f>O18*F18*101.325/8.3145/META!C$23/(273.15+Fluxes!Q18)*10</f>
        <v>-3.4296149308779306E-2</v>
      </c>
      <c r="U18" s="18">
        <f t="shared" si="2"/>
        <v>-2.4693227502321103E-2</v>
      </c>
      <c r="V18" s="95">
        <v>2.3712724225821069</v>
      </c>
      <c r="X18" s="105">
        <v>-4.314912444009434E-2</v>
      </c>
    </row>
    <row r="19" spans="1:26" x14ac:dyDescent="0.25">
      <c r="A19" s="29" t="s">
        <v>29</v>
      </c>
      <c r="B19" s="79">
        <v>79</v>
      </c>
      <c r="C19" s="80">
        <v>55</v>
      </c>
      <c r="D19" s="80">
        <v>63</v>
      </c>
      <c r="E19" s="81">
        <v>74</v>
      </c>
      <c r="F19" s="82">
        <f>(META!C$24+AVERAGE(B19:E19)/10*META!C$23)</f>
        <v>6416.4340000000002</v>
      </c>
      <c r="G19" s="79">
        <v>0</v>
      </c>
      <c r="H19" s="80">
        <v>20</v>
      </c>
      <c r="I19" s="80">
        <v>40</v>
      </c>
      <c r="J19" s="81"/>
      <c r="K19" s="120">
        <v>1.6439999999999999</v>
      </c>
      <c r="L19" s="121">
        <v>1.6519999999999999</v>
      </c>
      <c r="M19" s="138">
        <v>1.7689999999999999</v>
      </c>
      <c r="N19" s="83"/>
      <c r="O19" s="27">
        <f t="shared" si="0"/>
        <v>3.1250000000000002E-3</v>
      </c>
      <c r="P19" s="28">
        <f t="shared" si="1"/>
        <v>0.79779086391177079</v>
      </c>
      <c r="Q19" s="127">
        <v>27.2</v>
      </c>
      <c r="R19" s="127">
        <v>25.9</v>
      </c>
      <c r="S19" s="127">
        <v>51.7</v>
      </c>
      <c r="T19" s="28">
        <f>O19*F19*101.325/8.3145/META!C$23/(273.15+Fluxes!Q19)*10</f>
        <v>2.5896776182372811E-2</v>
      </c>
      <c r="U19" s="27">
        <f t="shared" si="2"/>
        <v>1.8645678851308425E-2</v>
      </c>
      <c r="V19" s="96">
        <v>2.9144319914586978</v>
      </c>
      <c r="X19" s="106">
        <v>-7.7674917593869214E-2</v>
      </c>
    </row>
    <row r="20" spans="1:26" x14ac:dyDescent="0.25">
      <c r="A20" s="2" t="s">
        <v>30</v>
      </c>
      <c r="B20" s="74">
        <v>83</v>
      </c>
      <c r="C20" s="75">
        <v>85</v>
      </c>
      <c r="D20" s="75">
        <v>79</v>
      </c>
      <c r="E20" s="76">
        <v>79</v>
      </c>
      <c r="F20" s="77">
        <f>(META!C$24+AVERAGE(B20:E20)/10*META!C$23)</f>
        <v>6848.4040000000005</v>
      </c>
      <c r="G20" s="74">
        <v>0</v>
      </c>
      <c r="H20" s="75">
        <v>20</v>
      </c>
      <c r="I20" s="75">
        <v>40</v>
      </c>
      <c r="J20" s="76"/>
      <c r="K20" s="118">
        <v>1.593</v>
      </c>
      <c r="L20" s="132">
        <v>1.629</v>
      </c>
      <c r="M20" s="119">
        <v>1.587</v>
      </c>
      <c r="N20" s="78"/>
      <c r="O20" s="18">
        <f t="shared" si="0"/>
        <v>-1.5000000000000012E-4</v>
      </c>
      <c r="P20" s="6">
        <f t="shared" si="1"/>
        <v>1.7441860465116272E-2</v>
      </c>
      <c r="Q20" s="126">
        <v>25.1</v>
      </c>
      <c r="R20" s="126">
        <v>25.2</v>
      </c>
      <c r="S20" s="126">
        <v>53.9</v>
      </c>
      <c r="T20" s="6">
        <f>O20*F20*101.325/8.3145/META!C$23/(273.15+Fluxes!Q20)*10</f>
        <v>-1.3360717012003049E-3</v>
      </c>
      <c r="U20" s="18">
        <f t="shared" si="2"/>
        <v>-9.6197162486421966E-4</v>
      </c>
      <c r="V20" s="95">
        <v>2.3599382064309409</v>
      </c>
      <c r="X20" s="105">
        <v>-1.5084319506773761E-2</v>
      </c>
      <c r="Z20" s="135"/>
    </row>
    <row r="21" spans="1:26" x14ac:dyDescent="0.25">
      <c r="A21" s="2" t="s">
        <v>31</v>
      </c>
      <c r="B21" s="74">
        <v>76</v>
      </c>
      <c r="C21" s="75">
        <v>68</v>
      </c>
      <c r="D21" s="75">
        <v>71</v>
      </c>
      <c r="E21" s="76">
        <v>76</v>
      </c>
      <c r="F21" s="77">
        <f>(META!C$24+AVERAGE(B21:E21)/10*META!C$23)</f>
        <v>6573.5140000000001</v>
      </c>
      <c r="G21" s="74">
        <v>0</v>
      </c>
      <c r="H21" s="75">
        <v>20</v>
      </c>
      <c r="I21" s="75">
        <v>40</v>
      </c>
      <c r="J21" s="76"/>
      <c r="K21" s="118">
        <v>1.5529999999999999</v>
      </c>
      <c r="L21" s="119">
        <v>1.583</v>
      </c>
      <c r="M21" s="119">
        <v>1.5649999999999999</v>
      </c>
      <c r="N21" s="78"/>
      <c r="O21" s="18">
        <f t="shared" si="0"/>
        <v>3.0000000000000024E-4</v>
      </c>
      <c r="P21" s="6">
        <f t="shared" si="1"/>
        <v>0.15789473684210525</v>
      </c>
      <c r="Q21" s="126">
        <v>25.1</v>
      </c>
      <c r="R21" s="126">
        <v>25.2</v>
      </c>
      <c r="S21" s="126">
        <v>53.8</v>
      </c>
      <c r="T21" s="6">
        <f>O21*F21*101.325/8.3145/META!C$23/(273.15+Fluxes!Q21)*10</f>
        <v>2.5648854923991113E-3</v>
      </c>
      <c r="U21" s="18">
        <f t="shared" si="2"/>
        <v>1.8467175545273603E-3</v>
      </c>
      <c r="V21" s="95">
        <v>0.88782227988040718</v>
      </c>
      <c r="X21" s="105">
        <v>-1.1040463630321878E-2</v>
      </c>
      <c r="Z21" s="135"/>
    </row>
    <row r="22" spans="1:26" x14ac:dyDescent="0.25">
      <c r="A22" s="2" t="s">
        <v>32</v>
      </c>
      <c r="B22" s="74">
        <v>75</v>
      </c>
      <c r="C22" s="75">
        <v>79</v>
      </c>
      <c r="D22" s="75">
        <v>74</v>
      </c>
      <c r="E22" s="76">
        <v>68</v>
      </c>
      <c r="F22" s="77">
        <f>(META!C$24+AVERAGE(B22:E22)/10*META!C$23)</f>
        <v>6612.7839999999997</v>
      </c>
      <c r="G22" s="74">
        <v>0</v>
      </c>
      <c r="H22" s="75">
        <v>20</v>
      </c>
      <c r="I22" s="75">
        <v>40</v>
      </c>
      <c r="J22" s="76"/>
      <c r="K22" s="118">
        <v>1.5609999999999999</v>
      </c>
      <c r="L22" s="119">
        <v>1.609</v>
      </c>
      <c r="M22" s="119">
        <v>1.593</v>
      </c>
      <c r="N22" s="78"/>
      <c r="O22" s="18">
        <f t="shared" si="0"/>
        <v>8.0000000000000069E-4</v>
      </c>
      <c r="P22" s="6">
        <f t="shared" si="1"/>
        <v>0.42857142857142866</v>
      </c>
      <c r="Q22" s="126">
        <v>25.1</v>
      </c>
      <c r="R22" s="126">
        <v>25.2</v>
      </c>
      <c r="S22" s="126">
        <v>53.4</v>
      </c>
      <c r="T22" s="6">
        <f>O22*F22*101.325/8.3145/META!C$23/(273.15+Fluxes!Q22)*10</f>
        <v>6.8805548025886749E-3</v>
      </c>
      <c r="U22" s="18">
        <f t="shared" si="2"/>
        <v>4.9539994578638464E-3</v>
      </c>
      <c r="V22" s="95">
        <v>1.7751849757249343</v>
      </c>
      <c r="X22" s="105">
        <v>4.5460732595442891E-3</v>
      </c>
      <c r="Z22" s="135"/>
    </row>
    <row r="23" spans="1:26" x14ac:dyDescent="0.25">
      <c r="A23" s="29" t="s">
        <v>33</v>
      </c>
      <c r="B23" s="79">
        <v>70</v>
      </c>
      <c r="C23" s="80">
        <v>81</v>
      </c>
      <c r="D23" s="80">
        <v>78</v>
      </c>
      <c r="E23" s="81">
        <v>69</v>
      </c>
      <c r="F23" s="82">
        <f>(META!C$24+AVERAGE(B23:E23)/10*META!C$23)</f>
        <v>6628.4920000000002</v>
      </c>
      <c r="G23" s="79">
        <v>0</v>
      </c>
      <c r="H23" s="80">
        <v>20</v>
      </c>
      <c r="I23" s="80">
        <v>40</v>
      </c>
      <c r="J23" s="81"/>
      <c r="K23" s="120">
        <v>1.5920000000000001</v>
      </c>
      <c r="L23" s="121">
        <v>1.633</v>
      </c>
      <c r="M23" s="121">
        <v>1.6160000000000001</v>
      </c>
      <c r="N23" s="83"/>
      <c r="O23" s="27">
        <f t="shared" si="0"/>
        <v>6.0000000000000049E-4</v>
      </c>
      <c r="P23" s="28">
        <f t="shared" si="1"/>
        <v>0.33935585231736232</v>
      </c>
      <c r="Q23" s="127">
        <v>25.1</v>
      </c>
      <c r="R23" s="127">
        <v>25.2</v>
      </c>
      <c r="S23" s="127">
        <v>54.3</v>
      </c>
      <c r="T23" s="28">
        <f>O23*F23*101.325/8.3145/META!C$23/(273.15+Fluxes!Q23)*10</f>
        <v>5.1726741487988217E-3</v>
      </c>
      <c r="U23" s="27">
        <f t="shared" si="2"/>
        <v>3.7243253871351517E-3</v>
      </c>
      <c r="V23" s="96">
        <v>5.0209303693162521</v>
      </c>
      <c r="X23" s="106">
        <v>-5.2878074452473792E-2</v>
      </c>
      <c r="Z23" s="135"/>
    </row>
    <row r="24" spans="1:26" x14ac:dyDescent="0.25">
      <c r="A24" s="2" t="s">
        <v>34</v>
      </c>
      <c r="B24" s="74">
        <v>82</v>
      </c>
      <c r="C24" s="75">
        <v>73</v>
      </c>
      <c r="D24" s="75">
        <v>78</v>
      </c>
      <c r="E24" s="76">
        <v>83</v>
      </c>
      <c r="F24" s="77">
        <f>(META!C$24+AVERAGE(B24:E24)/10*META!C$23)</f>
        <v>6769.8640000000005</v>
      </c>
      <c r="G24" s="74">
        <v>0</v>
      </c>
      <c r="H24" s="75">
        <v>20</v>
      </c>
      <c r="I24" s="75">
        <v>40</v>
      </c>
      <c r="J24" s="76"/>
      <c r="K24" s="118">
        <v>1.7130000000000001</v>
      </c>
      <c r="L24" s="119">
        <v>1.6919999999999999</v>
      </c>
      <c r="M24" s="119">
        <v>1.6479999999999999</v>
      </c>
      <c r="N24" s="78"/>
      <c r="O24" s="18">
        <f t="shared" si="0"/>
        <v>-1.6250000000000043E-3</v>
      </c>
      <c r="P24" s="6">
        <f t="shared" si="1"/>
        <v>0.95993638291426919</v>
      </c>
      <c r="Q24" s="126">
        <v>24.9</v>
      </c>
      <c r="R24" s="126">
        <v>24.9</v>
      </c>
      <c r="S24" s="126">
        <v>51.8</v>
      </c>
      <c r="T24" s="6">
        <f>O24*F24*101.325/8.3145/META!C$23/(273.15+Fluxes!Q24)*10</f>
        <v>-1.4317716863101805E-2</v>
      </c>
      <c r="U24" s="18">
        <f t="shared" si="2"/>
        <v>-1.03087561414333E-2</v>
      </c>
      <c r="V24" s="95">
        <v>2.5079062948564896</v>
      </c>
      <c r="X24" s="105">
        <v>-9.3266000885718292E-2</v>
      </c>
      <c r="Z24" s="135"/>
    </row>
    <row r="25" spans="1:26" x14ac:dyDescent="0.25">
      <c r="A25" s="2" t="s">
        <v>35</v>
      </c>
      <c r="B25" s="74">
        <v>82</v>
      </c>
      <c r="C25" s="75">
        <v>72</v>
      </c>
      <c r="D25" s="75">
        <v>78</v>
      </c>
      <c r="E25" s="76">
        <v>83</v>
      </c>
      <c r="F25" s="77">
        <f>(META!C$24+AVERAGE(B25:E25)/10*META!C$23)</f>
        <v>6762.01</v>
      </c>
      <c r="G25" s="74">
        <v>0</v>
      </c>
      <c r="H25" s="75">
        <v>20</v>
      </c>
      <c r="I25" s="75">
        <v>40</v>
      </c>
      <c r="J25" s="76"/>
      <c r="K25" s="118">
        <v>1.7350000000000001</v>
      </c>
      <c r="L25" s="119">
        <v>1.786</v>
      </c>
      <c r="M25" s="119">
        <v>1.7949999999999999</v>
      </c>
      <c r="N25" s="78"/>
      <c r="O25" s="18">
        <f t="shared" si="0"/>
        <v>1.4999999999999957E-3</v>
      </c>
      <c r="P25" s="6">
        <f t="shared" si="1"/>
        <v>0.8595988538681939</v>
      </c>
      <c r="Q25" s="126">
        <v>24.9</v>
      </c>
      <c r="R25" s="126">
        <v>24.9</v>
      </c>
      <c r="S25" s="126">
        <v>55.9</v>
      </c>
      <c r="T25" s="6">
        <f>O25*F25*101.325/8.3145/META!C$23/(273.15+Fluxes!Q25)*10</f>
        <v>1.3201021187035662E-2</v>
      </c>
      <c r="U25" s="18">
        <f t="shared" si="2"/>
        <v>9.5047352546656777E-3</v>
      </c>
      <c r="V25" s="95">
        <v>1.0814972487147543</v>
      </c>
      <c r="X25" s="105">
        <v>-1.7266098266834496E-2</v>
      </c>
      <c r="Z25" s="135"/>
    </row>
    <row r="26" spans="1:26" x14ac:dyDescent="0.25">
      <c r="A26" s="2" t="s">
        <v>36</v>
      </c>
      <c r="B26" s="74">
        <v>83</v>
      </c>
      <c r="C26" s="75">
        <v>90</v>
      </c>
      <c r="D26" s="75">
        <v>76</v>
      </c>
      <c r="E26" s="76">
        <v>98</v>
      </c>
      <c r="F26" s="77">
        <f>(META!C$24+AVERAGE(B26:E26)/10*META!C$23)</f>
        <v>7013.3380000000006</v>
      </c>
      <c r="G26" s="74">
        <v>0</v>
      </c>
      <c r="H26" s="75">
        <v>20</v>
      </c>
      <c r="I26" s="75">
        <v>40</v>
      </c>
      <c r="J26" s="76"/>
      <c r="K26" s="118">
        <v>1.7509999999999999</v>
      </c>
      <c r="L26" s="119">
        <v>1.6950000000000001</v>
      </c>
      <c r="M26" s="119">
        <v>1.637</v>
      </c>
      <c r="N26" s="78"/>
      <c r="O26" s="18">
        <f t="shared" si="0"/>
        <v>-2.8499999999999971E-3</v>
      </c>
      <c r="P26" s="6">
        <f t="shared" si="1"/>
        <v>0.99989741485432904</v>
      </c>
      <c r="Q26" s="126">
        <v>24.9</v>
      </c>
      <c r="R26" s="126">
        <v>24.9</v>
      </c>
      <c r="S26" s="126">
        <v>44.9</v>
      </c>
      <c r="T26" s="6">
        <f>O26*F26*101.325/8.3145/META!C$23/(273.15+Fluxes!Q26)*10</f>
        <v>-2.6014176954293283E-2</v>
      </c>
      <c r="U26" s="18">
        <f t="shared" si="2"/>
        <v>-1.8730207407091162E-2</v>
      </c>
      <c r="V26" s="95">
        <v>3.1336957865390911</v>
      </c>
      <c r="X26" s="105">
        <v>-8.283036267269453E-2</v>
      </c>
      <c r="Z26" s="135"/>
    </row>
    <row r="27" spans="1:26" x14ac:dyDescent="0.25">
      <c r="A27" s="29" t="s">
        <v>37</v>
      </c>
      <c r="B27" s="79">
        <v>74</v>
      </c>
      <c r="C27" s="80">
        <v>75</v>
      </c>
      <c r="D27" s="80">
        <v>80</v>
      </c>
      <c r="E27" s="81">
        <v>78</v>
      </c>
      <c r="F27" s="82">
        <f>(META!C$24+AVERAGE(B27:E27)/10*META!C$23)</f>
        <v>6699.1779999999999</v>
      </c>
      <c r="G27" s="79">
        <v>0</v>
      </c>
      <c r="H27" s="80">
        <v>20</v>
      </c>
      <c r="I27" s="80">
        <v>40</v>
      </c>
      <c r="J27" s="81"/>
      <c r="K27" s="120">
        <v>1.756</v>
      </c>
      <c r="L27" s="121">
        <v>1.714</v>
      </c>
      <c r="M27" s="121">
        <v>1.7210000000000001</v>
      </c>
      <c r="N27" s="83"/>
      <c r="O27" s="27">
        <f t="shared" si="0"/>
        <v>-8.7499999999999796E-4</v>
      </c>
      <c r="P27" s="28">
        <f t="shared" si="1"/>
        <v>0.60483870967741671</v>
      </c>
      <c r="Q27" s="127">
        <v>24.9</v>
      </c>
      <c r="R27" s="127">
        <v>25</v>
      </c>
      <c r="S27" s="127">
        <v>51.5</v>
      </c>
      <c r="T27" s="28">
        <f>O27*F27*101.325/8.3145/META!C$23/(273.15+Fluxes!Q27)*10</f>
        <v>-7.6290424370374912E-3</v>
      </c>
      <c r="U27" s="27">
        <f t="shared" si="2"/>
        <v>-5.4929105546669939E-3</v>
      </c>
      <c r="V27" s="96">
        <v>3.5183886418913461</v>
      </c>
      <c r="X27" s="106">
        <v>-5.1664429650274575E-2</v>
      </c>
      <c r="Z27" s="135"/>
    </row>
    <row r="28" spans="1:26" x14ac:dyDescent="0.25">
      <c r="A28" s="2" t="s">
        <v>38</v>
      </c>
      <c r="B28" s="74">
        <v>65</v>
      </c>
      <c r="C28" s="75">
        <v>63</v>
      </c>
      <c r="D28" s="75">
        <v>72</v>
      </c>
      <c r="E28" s="76">
        <v>78</v>
      </c>
      <c r="F28" s="77">
        <f>(META!C$24+AVERAGE(B28:E28)/10*META!C$23)</f>
        <v>6471.4120000000003</v>
      </c>
      <c r="G28" s="74">
        <v>0</v>
      </c>
      <c r="H28" s="75">
        <v>20</v>
      </c>
      <c r="I28" s="75">
        <v>40</v>
      </c>
      <c r="J28" s="76"/>
      <c r="K28" s="118">
        <v>1.6020000000000001</v>
      </c>
      <c r="L28" s="119">
        <v>1.486</v>
      </c>
      <c r="M28" s="119">
        <v>1.4470000000000001</v>
      </c>
      <c r="N28" s="78"/>
      <c r="O28" s="18">
        <f t="shared" si="0"/>
        <v>-3.8750000000000008E-3</v>
      </c>
      <c r="P28" s="6">
        <f t="shared" si="1"/>
        <v>0.92399107738064679</v>
      </c>
      <c r="Q28" s="126">
        <v>26</v>
      </c>
      <c r="R28" s="126">
        <v>27.6</v>
      </c>
      <c r="S28" s="126">
        <v>48.5</v>
      </c>
      <c r="T28" s="6">
        <f>O28*F28*101.325/8.3145/META!C$23/(273.15+Fluxes!Q28)*10</f>
        <v>-3.2517064769587829E-2</v>
      </c>
      <c r="U28" s="18">
        <f t="shared" si="2"/>
        <v>-2.3412286634103233E-2</v>
      </c>
      <c r="V28" s="95">
        <v>6.2488325916431302</v>
      </c>
      <c r="X28" s="105">
        <v>-8.0456197847804597E-2</v>
      </c>
      <c r="Z28" s="135"/>
    </row>
    <row r="29" spans="1:26" x14ac:dyDescent="0.25">
      <c r="A29" s="2" t="s">
        <v>39</v>
      </c>
      <c r="B29" s="74">
        <v>77</v>
      </c>
      <c r="C29" s="75">
        <v>74</v>
      </c>
      <c r="D29" s="75">
        <v>81</v>
      </c>
      <c r="E29" s="76">
        <v>71</v>
      </c>
      <c r="F29" s="77">
        <f>(META!C$24+AVERAGE(B29:E29)/10*META!C$23)</f>
        <v>6667.7620000000006</v>
      </c>
      <c r="G29" s="74">
        <v>0</v>
      </c>
      <c r="H29" s="75">
        <v>20</v>
      </c>
      <c r="I29" s="75">
        <v>40</v>
      </c>
      <c r="J29" s="76"/>
      <c r="K29" s="118">
        <v>1.5740000000000001</v>
      </c>
      <c r="L29" s="119">
        <v>1.512</v>
      </c>
      <c r="M29" s="119">
        <v>1.4650000000000001</v>
      </c>
      <c r="N29" s="78"/>
      <c r="O29" s="18">
        <f t="shared" si="0"/>
        <v>-2.7249999999999996E-3</v>
      </c>
      <c r="P29" s="6">
        <f t="shared" si="1"/>
        <v>0.99372699899631978</v>
      </c>
      <c r="Q29" s="126">
        <v>26</v>
      </c>
      <c r="R29" s="126">
        <v>27.4</v>
      </c>
      <c r="S29" s="126">
        <v>51</v>
      </c>
      <c r="T29" s="6">
        <f>O29*F29*101.325/8.3145/META!C$23/(273.15+Fluxes!Q29)*10</f>
        <v>-2.3560645000602863E-2</v>
      </c>
      <c r="U29" s="18">
        <f t="shared" si="2"/>
        <v>-1.6963664400434061E-2</v>
      </c>
      <c r="V29" s="95">
        <v>3.7905181535200332</v>
      </c>
      <c r="X29" s="105">
        <v>-4.5575293405214212E-2</v>
      </c>
      <c r="Z29" s="135"/>
    </row>
    <row r="30" spans="1:26" x14ac:dyDescent="0.25">
      <c r="A30" s="2" t="s">
        <v>40</v>
      </c>
      <c r="B30" s="74">
        <v>78</v>
      </c>
      <c r="C30" s="75">
        <v>81</v>
      </c>
      <c r="D30" s="75">
        <v>84</v>
      </c>
      <c r="E30" s="76">
        <v>84</v>
      </c>
      <c r="F30" s="77">
        <f>(META!C$24+AVERAGE(B30:E30)/10*META!C$23)</f>
        <v>6856.2579999999998</v>
      </c>
      <c r="G30" s="74">
        <v>0</v>
      </c>
      <c r="H30" s="75">
        <v>20</v>
      </c>
      <c r="I30" s="75">
        <v>40</v>
      </c>
      <c r="J30" s="76"/>
      <c r="K30" s="118">
        <v>1.6020000000000001</v>
      </c>
      <c r="L30" s="119">
        <v>1.5069999999999999</v>
      </c>
      <c r="M30" s="119">
        <v>1.492</v>
      </c>
      <c r="N30" s="78"/>
      <c r="O30" s="18">
        <f t="shared" si="0"/>
        <v>-2.7500000000000024E-3</v>
      </c>
      <c r="P30" s="6">
        <f t="shared" si="1"/>
        <v>0.85011709601873453</v>
      </c>
      <c r="Q30" s="126">
        <v>26</v>
      </c>
      <c r="R30" s="126">
        <v>27.1</v>
      </c>
      <c r="S30" s="126">
        <v>45.7</v>
      </c>
      <c r="T30" s="6">
        <f>O30*F30*101.325/8.3145/META!C$23/(273.15+Fluxes!Q30)*10</f>
        <v>-2.4448961959531411E-2</v>
      </c>
      <c r="U30" s="18">
        <f t="shared" si="2"/>
        <v>-1.7603252610862617E-2</v>
      </c>
      <c r="V30" s="95">
        <v>4.4273563028390264</v>
      </c>
      <c r="X30" s="105">
        <v>-8.5430837290603079E-2</v>
      </c>
      <c r="Z30" s="135"/>
    </row>
    <row r="31" spans="1:26" x14ac:dyDescent="0.25">
      <c r="A31" s="29" t="s">
        <v>41</v>
      </c>
      <c r="B31" s="79">
        <v>77</v>
      </c>
      <c r="C31" s="80">
        <v>63</v>
      </c>
      <c r="D31" s="80">
        <v>75</v>
      </c>
      <c r="E31" s="81">
        <v>61</v>
      </c>
      <c r="F31" s="82">
        <f>(META!C$24+AVERAGE(B31:E31)/10*META!C$23)</f>
        <v>6455.7039999999997</v>
      </c>
      <c r="G31" s="79">
        <v>0</v>
      </c>
      <c r="H31" s="80">
        <v>20</v>
      </c>
      <c r="I31" s="80">
        <v>40</v>
      </c>
      <c r="J31" s="81"/>
      <c r="K31" s="120">
        <v>1.57</v>
      </c>
      <c r="L31" s="121">
        <v>1.4430000000000001</v>
      </c>
      <c r="M31" s="121">
        <v>1.3140000000000001</v>
      </c>
      <c r="N31" s="83"/>
      <c r="O31" s="27">
        <f t="shared" si="0"/>
        <v>-6.4000000000000003E-3</v>
      </c>
      <c r="P31" s="28">
        <f t="shared" si="1"/>
        <v>0.99997965536182909</v>
      </c>
      <c r="Q31" s="127">
        <v>26</v>
      </c>
      <c r="R31" s="127">
        <v>26.9</v>
      </c>
      <c r="S31" s="127">
        <v>46.9</v>
      </c>
      <c r="T31" s="28">
        <f>O31*F31*101.325/8.3145/META!C$23/(273.15+Fluxes!Q31)*10</f>
        <v>-5.357524462072278E-2</v>
      </c>
      <c r="U31" s="27">
        <f t="shared" si="2"/>
        <v>-3.8574176126920399E-2</v>
      </c>
      <c r="V31" s="96">
        <v>5.4710184563409623</v>
      </c>
      <c r="X31" s="106">
        <v>-3.7141889757958146E-3</v>
      </c>
      <c r="Z31" s="135"/>
    </row>
    <row r="32" spans="1:26" x14ac:dyDescent="0.25">
      <c r="A32" s="2" t="s">
        <v>42</v>
      </c>
      <c r="B32" s="74">
        <v>80</v>
      </c>
      <c r="C32" s="75">
        <v>70</v>
      </c>
      <c r="D32" s="75">
        <v>59</v>
      </c>
      <c r="E32" s="76">
        <v>75</v>
      </c>
      <c r="F32" s="77">
        <f>(META!C$24+AVERAGE(B32:E32)/10*META!C$23)</f>
        <v>6518.5360000000001</v>
      </c>
      <c r="G32" s="74">
        <v>0</v>
      </c>
      <c r="H32" s="75">
        <v>20</v>
      </c>
      <c r="I32" s="75">
        <v>40</v>
      </c>
      <c r="J32" s="76"/>
      <c r="K32" s="118">
        <v>1.5649999999999999</v>
      </c>
      <c r="L32" s="119">
        <v>1.5569999999999999</v>
      </c>
      <c r="M32" s="119">
        <v>1.486</v>
      </c>
      <c r="N32" s="78"/>
      <c r="O32" s="18">
        <f t="shared" si="0"/>
        <v>-1.9749999999999989E-3</v>
      </c>
      <c r="P32" s="6">
        <f t="shared" si="1"/>
        <v>0.82509254362771023</v>
      </c>
      <c r="Q32" s="126">
        <v>26.8</v>
      </c>
      <c r="R32" s="126">
        <v>26.7</v>
      </c>
      <c r="S32" s="126">
        <v>40.799999999999997</v>
      </c>
      <c r="T32" s="6">
        <f>O32*F32*101.325/8.3145/META!C$23/(273.15+Fluxes!Q32)*10</f>
        <v>-1.6649373211740596E-2</v>
      </c>
      <c r="U32" s="18">
        <f t="shared" si="2"/>
        <v>-1.1987548712453227E-2</v>
      </c>
      <c r="V32" s="95">
        <v>5.5789579912014196</v>
      </c>
      <c r="X32" s="105">
        <v>-4.6668624630766847E-2</v>
      </c>
      <c r="Z32" s="135"/>
    </row>
    <row r="33" spans="1:26" x14ac:dyDescent="0.25">
      <c r="A33" s="2" t="s">
        <v>43</v>
      </c>
      <c r="B33" s="74">
        <v>62</v>
      </c>
      <c r="C33" s="75">
        <v>70</v>
      </c>
      <c r="D33" s="75">
        <v>80</v>
      </c>
      <c r="E33" s="76">
        <v>71</v>
      </c>
      <c r="F33" s="77">
        <f>(META!C$24+AVERAGE(B33:E33)/10*META!C$23)</f>
        <v>6510.6820000000007</v>
      </c>
      <c r="G33" s="74">
        <v>0</v>
      </c>
      <c r="H33" s="75">
        <v>20</v>
      </c>
      <c r="I33" s="75">
        <v>40</v>
      </c>
      <c r="J33" s="76"/>
      <c r="K33" s="118">
        <v>1.575</v>
      </c>
      <c r="L33" s="119">
        <v>1.5960000000000001</v>
      </c>
      <c r="M33" s="119">
        <v>1.536</v>
      </c>
      <c r="N33" s="78"/>
      <c r="O33" s="18">
        <f t="shared" si="0"/>
        <v>-9.7499999999999811E-4</v>
      </c>
      <c r="P33" s="6">
        <f t="shared" si="1"/>
        <v>0.41019417475727965</v>
      </c>
      <c r="Q33" s="126">
        <v>26.8</v>
      </c>
      <c r="R33" s="126">
        <v>26.6</v>
      </c>
      <c r="S33" s="126">
        <v>55.3</v>
      </c>
      <c r="T33" s="6">
        <f>O33*F33*101.325/8.3145/META!C$23/(273.15+Fluxes!Q33)*10</f>
        <v>-8.2094076104762322E-3</v>
      </c>
      <c r="U33" s="18">
        <f t="shared" si="2"/>
        <v>-5.9107734795428874E-3</v>
      </c>
      <c r="V33" s="95">
        <v>2.4757066696810957</v>
      </c>
      <c r="X33" s="105">
        <v>-5.7254827373186691E-2</v>
      </c>
      <c r="Z33" s="135"/>
    </row>
    <row r="34" spans="1:26" x14ac:dyDescent="0.25">
      <c r="A34" s="2" t="s">
        <v>44</v>
      </c>
      <c r="B34" s="74">
        <v>77</v>
      </c>
      <c r="C34" s="75">
        <v>79</v>
      </c>
      <c r="D34" s="75">
        <v>84</v>
      </c>
      <c r="E34" s="76">
        <v>68</v>
      </c>
      <c r="F34" s="77">
        <f>(META!C$24+AVERAGE(B34:E34)/10*META!C$23)</f>
        <v>6707.0320000000002</v>
      </c>
      <c r="G34" s="74">
        <v>0</v>
      </c>
      <c r="H34" s="75">
        <v>20</v>
      </c>
      <c r="I34" s="75">
        <v>40</v>
      </c>
      <c r="J34" s="76"/>
      <c r="K34" s="118">
        <v>1.5669999999999999</v>
      </c>
      <c r="L34" s="119">
        <v>1.6060000000000001</v>
      </c>
      <c r="M34" s="119">
        <v>1.601</v>
      </c>
      <c r="N34" s="78"/>
      <c r="O34" s="18">
        <f t="shared" si="0"/>
        <v>8.5000000000000071E-4</v>
      </c>
      <c r="P34" s="6">
        <f t="shared" si="1"/>
        <v>0.6417468541820851</v>
      </c>
      <c r="Q34" s="126">
        <v>26.8</v>
      </c>
      <c r="R34" s="126">
        <v>26.6</v>
      </c>
      <c r="S34" s="126">
        <v>51.5</v>
      </c>
      <c r="T34" s="6">
        <f>O34*F34*101.325/8.3145/META!C$23/(273.15+Fluxes!Q34)*10</f>
        <v>7.3727587690555971E-3</v>
      </c>
      <c r="U34" s="18">
        <f t="shared" si="2"/>
        <v>5.30838631372003E-3</v>
      </c>
      <c r="V34" s="95">
        <v>2.8997197311040139</v>
      </c>
      <c r="X34" s="105">
        <v>-3.5665554575143914E-2</v>
      </c>
      <c r="Z34" s="135"/>
    </row>
    <row r="35" spans="1:26" ht="15.75" thickBot="1" x14ac:dyDescent="0.3">
      <c r="A35" s="63" t="s">
        <v>45</v>
      </c>
      <c r="B35" s="84">
        <v>66</v>
      </c>
      <c r="C35" s="85">
        <v>73</v>
      </c>
      <c r="D35" s="85">
        <v>69</v>
      </c>
      <c r="E35" s="86">
        <v>70</v>
      </c>
      <c r="F35" s="87">
        <f>(META!C$24+AVERAGE(B35:E35)/10*META!C$23)</f>
        <v>6471.4120000000003</v>
      </c>
      <c r="G35" s="84">
        <v>0</v>
      </c>
      <c r="H35" s="85">
        <v>20</v>
      </c>
      <c r="I35" s="85">
        <v>40</v>
      </c>
      <c r="J35" s="86"/>
      <c r="K35" s="133">
        <v>1.581</v>
      </c>
      <c r="L35" s="122">
        <v>1.552</v>
      </c>
      <c r="M35" s="122">
        <v>1.534</v>
      </c>
      <c r="N35" s="88"/>
      <c r="O35" s="64">
        <f t="shared" si="0"/>
        <v>-1.1749999999999983E-3</v>
      </c>
      <c r="P35" s="65">
        <f t="shared" si="1"/>
        <v>0.98206876111440433</v>
      </c>
      <c r="Q35" s="128">
        <v>26.8</v>
      </c>
      <c r="R35" s="128">
        <v>26.6</v>
      </c>
      <c r="S35" s="128">
        <v>54.3</v>
      </c>
      <c r="T35" s="65">
        <f>O35*F35*101.325/8.3145/META!C$23/(273.15+Fluxes!Q35)*10</f>
        <v>-9.833715436737148E-3</v>
      </c>
      <c r="U35" s="64">
        <f t="shared" si="2"/>
        <v>-7.0802751144507471E-3</v>
      </c>
      <c r="V35" s="97">
        <v>1.0629251942213696</v>
      </c>
      <c r="X35" s="107">
        <v>-5.4997095137436806E-3</v>
      </c>
      <c r="Z35" s="135"/>
    </row>
    <row r="36" spans="1:26" ht="15.75" thickTop="1" x14ac:dyDescent="0.25">
      <c r="A36" s="2" t="s">
        <v>46</v>
      </c>
      <c r="B36" s="74">
        <v>81</v>
      </c>
      <c r="C36" s="75">
        <v>90</v>
      </c>
      <c r="D36" s="75">
        <v>81</v>
      </c>
      <c r="E36" s="76">
        <v>87</v>
      </c>
      <c r="F36" s="77">
        <f>(META!C$24+AVERAGE(B36:E36)/10*META!C$23)</f>
        <v>6950.5060000000003</v>
      </c>
      <c r="G36" s="74">
        <v>0</v>
      </c>
      <c r="H36" s="75">
        <v>20</v>
      </c>
      <c r="I36" s="75">
        <v>40</v>
      </c>
      <c r="J36" s="76"/>
      <c r="K36" s="118">
        <v>1.5680000000000001</v>
      </c>
      <c r="L36" s="119">
        <v>1.502</v>
      </c>
      <c r="M36" s="119">
        <v>1.4730000000000001</v>
      </c>
      <c r="N36" s="78"/>
      <c r="O36" s="18">
        <f>SLOPE(K36:N36,G36:J36)</f>
        <v>-2.3749999999999995E-3</v>
      </c>
      <c r="P36" s="6">
        <f>RSQ(K36:N36,G36:J36)</f>
        <v>0.95187034172408913</v>
      </c>
      <c r="Q36" s="126">
        <v>25.6</v>
      </c>
      <c r="R36" s="126">
        <v>25.7</v>
      </c>
      <c r="S36" s="126">
        <v>53.5</v>
      </c>
      <c r="T36" s="6">
        <f>O36*F36*101.325/8.3145/META!C$23/(273.15+Fluxes!Q36)*10</f>
        <v>-2.1433925116313618E-2</v>
      </c>
      <c r="U36" s="18">
        <f t="shared" si="2"/>
        <v>-1.5432426083745806E-2</v>
      </c>
      <c r="V36" s="98">
        <v>4.998228840507446</v>
      </c>
      <c r="X36" s="105">
        <v>-3.2350785692303492E-2</v>
      </c>
      <c r="Z36" s="135"/>
    </row>
    <row r="37" spans="1:26" x14ac:dyDescent="0.25">
      <c r="A37" s="2" t="s">
        <v>47</v>
      </c>
      <c r="B37" s="74">
        <v>93</v>
      </c>
      <c r="C37" s="75">
        <v>78</v>
      </c>
      <c r="D37" s="75">
        <v>80</v>
      </c>
      <c r="E37" s="76">
        <v>87</v>
      </c>
      <c r="F37" s="77">
        <f>(META!C$24+AVERAGE(B37:E37)/10*META!C$23)</f>
        <v>6942.652</v>
      </c>
      <c r="G37" s="74">
        <v>0</v>
      </c>
      <c r="H37" s="75">
        <v>20</v>
      </c>
      <c r="I37" s="75">
        <v>40</v>
      </c>
      <c r="J37" s="76"/>
      <c r="K37" s="118">
        <v>1.5740000000000001</v>
      </c>
      <c r="L37" s="119">
        <v>1.5489999999999999</v>
      </c>
      <c r="M37" s="119">
        <v>1.4790000000000001</v>
      </c>
      <c r="N37" s="78"/>
      <c r="O37" s="18">
        <f t="shared" ref="O37:O43" si="3">SLOPE(K37:N37,G37:J37)</f>
        <v>-2.3749999999999995E-3</v>
      </c>
      <c r="P37" s="6">
        <f t="shared" ref="P37:P43" si="4">RSQ(K37:N37,G37:J37)</f>
        <v>0.93041237113402153</v>
      </c>
      <c r="Q37" s="126">
        <v>25.6</v>
      </c>
      <c r="R37" s="126">
        <v>25.7</v>
      </c>
      <c r="S37" s="126">
        <v>54.9</v>
      </c>
      <c r="T37" s="6">
        <f>O37*F37*101.325/8.3145/META!C$23/(273.15+Fluxes!Q37)*10</f>
        <v>-2.140970500228688E-2</v>
      </c>
      <c r="U37" s="18">
        <f t="shared" si="2"/>
        <v>-1.5414987601646554E-2</v>
      </c>
      <c r="V37" s="98">
        <v>5.3486966775311524</v>
      </c>
      <c r="X37" s="105">
        <v>-1.6209568284998629E-2</v>
      </c>
      <c r="Z37" s="135"/>
    </row>
    <row r="38" spans="1:26" x14ac:dyDescent="0.25">
      <c r="A38" s="2" t="s">
        <v>48</v>
      </c>
      <c r="B38" s="74">
        <v>87</v>
      </c>
      <c r="C38" s="75">
        <v>67</v>
      </c>
      <c r="D38" s="75">
        <v>90</v>
      </c>
      <c r="E38" s="76">
        <v>59</v>
      </c>
      <c r="F38" s="77">
        <f>(META!C$24+AVERAGE(B38:E38)/10*META!C$23)</f>
        <v>6667.7620000000006</v>
      </c>
      <c r="G38" s="74">
        <v>0</v>
      </c>
      <c r="H38" s="75">
        <v>20</v>
      </c>
      <c r="I38" s="75">
        <v>40</v>
      </c>
      <c r="J38" s="76"/>
      <c r="K38" s="118">
        <v>1.595</v>
      </c>
      <c r="L38" s="119">
        <v>1.5629999999999999</v>
      </c>
      <c r="M38" s="119">
        <v>1.5660000000000001</v>
      </c>
      <c r="N38" s="78"/>
      <c r="O38" s="18">
        <f t="shared" si="3"/>
        <v>-7.2499999999999789E-4</v>
      </c>
      <c r="P38" s="6">
        <f t="shared" si="4"/>
        <v>0.67315901814300638</v>
      </c>
      <c r="Q38" s="126">
        <v>25.6</v>
      </c>
      <c r="R38" s="126">
        <v>25.8</v>
      </c>
      <c r="S38" s="126">
        <v>53.1</v>
      </c>
      <c r="T38" s="6">
        <f>O38*F38*101.325/8.3145/META!C$23/(273.15+Fluxes!Q38)*10</f>
        <v>-6.2768213613597764E-3</v>
      </c>
      <c r="U38" s="18">
        <f t="shared" si="2"/>
        <v>-4.5193113801790382E-3</v>
      </c>
      <c r="V38" s="98">
        <v>3.2352224871378543</v>
      </c>
      <c r="X38" s="105">
        <v>-1.3193460631217638E-2</v>
      </c>
      <c r="Z38" s="135"/>
    </row>
    <row r="39" spans="1:26" x14ac:dyDescent="0.25">
      <c r="A39" s="29" t="s">
        <v>49</v>
      </c>
      <c r="B39" s="79">
        <v>0</v>
      </c>
      <c r="C39" s="80">
        <v>0</v>
      </c>
      <c r="D39" s="80">
        <v>0</v>
      </c>
      <c r="E39" s="81">
        <v>0</v>
      </c>
      <c r="F39" s="82">
        <f>(META!C$24+AVERAGE(B39:E39)/10*META!C$23)</f>
        <v>4288</v>
      </c>
      <c r="G39" s="79">
        <v>0</v>
      </c>
      <c r="H39" s="80">
        <v>20</v>
      </c>
      <c r="I39" s="80">
        <v>40</v>
      </c>
      <c r="J39" s="81"/>
      <c r="K39" s="120">
        <v>1.593</v>
      </c>
      <c r="L39" s="121">
        <v>1.595</v>
      </c>
      <c r="M39" s="121">
        <v>1.5720000000000001</v>
      </c>
      <c r="N39" s="83"/>
      <c r="O39" s="27">
        <f t="shared" si="3"/>
        <v>-5.2499999999999769E-4</v>
      </c>
      <c r="P39" s="28">
        <f t="shared" si="4"/>
        <v>0.6791581108829563</v>
      </c>
      <c r="Q39" s="127">
        <v>25.6</v>
      </c>
      <c r="R39" s="127">
        <v>25.8</v>
      </c>
      <c r="S39" s="127">
        <v>52.9</v>
      </c>
      <c r="T39" s="28">
        <f>O39*F39*101.325/8.3145/META!C$23/(273.15+Fluxes!Q39)*10</f>
        <v>-2.9230466914340674E-3</v>
      </c>
      <c r="U39" s="27">
        <f t="shared" si="2"/>
        <v>-2.1045936178325287E-3</v>
      </c>
      <c r="V39" s="99">
        <v>0.91489894087104839</v>
      </c>
      <c r="X39" s="106">
        <v>5.5637336102851197E-3</v>
      </c>
      <c r="Z39" s="135"/>
    </row>
    <row r="40" spans="1:26" x14ac:dyDescent="0.25">
      <c r="A40" s="2" t="s">
        <v>50</v>
      </c>
      <c r="B40" s="74">
        <v>71</v>
      </c>
      <c r="C40" s="75">
        <v>86</v>
      </c>
      <c r="D40" s="75">
        <v>78</v>
      </c>
      <c r="E40" s="76">
        <v>58</v>
      </c>
      <c r="F40" s="77">
        <f>(META!C$24+AVERAGE(B40:E40)/10*META!C$23)</f>
        <v>6589.2219999999998</v>
      </c>
      <c r="G40" s="74">
        <v>0</v>
      </c>
      <c r="H40" s="75">
        <v>20</v>
      </c>
      <c r="I40" s="75">
        <v>40</v>
      </c>
      <c r="J40" s="76"/>
      <c r="K40" s="118">
        <v>1.5489999999999999</v>
      </c>
      <c r="L40" s="119">
        <v>1.5680000000000001</v>
      </c>
      <c r="M40" s="119">
        <v>1.5049999999999999</v>
      </c>
      <c r="N40" s="78"/>
      <c r="O40" s="18">
        <f t="shared" si="3"/>
        <v>-1.1000000000000009E-3</v>
      </c>
      <c r="P40" s="6">
        <f t="shared" si="4"/>
        <v>0.46345355888924239</v>
      </c>
      <c r="Q40" s="126">
        <v>27</v>
      </c>
      <c r="R40" s="126">
        <v>26.4</v>
      </c>
      <c r="S40" s="126">
        <v>54.5</v>
      </c>
      <c r="T40" s="6">
        <f>O40*F40*101.325/8.3145/META!C$23/(273.15+Fluxes!Q40)*10</f>
        <v>-9.3673783916952066E-3</v>
      </c>
      <c r="U40" s="18">
        <f t="shared" si="2"/>
        <v>-6.7445124420205489E-3</v>
      </c>
      <c r="V40" s="98">
        <v>2.804254957157482</v>
      </c>
      <c r="X40" s="105">
        <v>-1.621946666069855E-2</v>
      </c>
      <c r="Z40" s="136"/>
    </row>
    <row r="41" spans="1:26" x14ac:dyDescent="0.25">
      <c r="A41" s="2" t="s">
        <v>51</v>
      </c>
      <c r="B41" s="74">
        <v>70</v>
      </c>
      <c r="C41" s="75">
        <v>72</v>
      </c>
      <c r="D41" s="75">
        <v>78</v>
      </c>
      <c r="E41" s="76">
        <v>65</v>
      </c>
      <c r="F41" s="77">
        <f>(META!C$24+AVERAGE(B41:E41)/10*META!C$23)</f>
        <v>6526.39</v>
      </c>
      <c r="G41" s="74">
        <v>0</v>
      </c>
      <c r="H41" s="75">
        <v>20</v>
      </c>
      <c r="I41" s="75">
        <v>40</v>
      </c>
      <c r="J41" s="76"/>
      <c r="K41" s="118">
        <v>1.6479999999999999</v>
      </c>
      <c r="L41" s="119">
        <v>1.611</v>
      </c>
      <c r="M41" s="119">
        <v>1.5149999999999999</v>
      </c>
      <c r="N41" s="78"/>
      <c r="O41" s="18">
        <f t="shared" si="3"/>
        <v>-3.3250000000000003E-3</v>
      </c>
      <c r="P41" s="6">
        <f t="shared" si="4"/>
        <v>0.93844167786659094</v>
      </c>
      <c r="Q41" s="126">
        <v>27</v>
      </c>
      <c r="R41" s="126">
        <v>26.3</v>
      </c>
      <c r="S41" s="126">
        <v>48.9</v>
      </c>
      <c r="T41" s="6">
        <f>O41*F41*101.325/8.3145/META!C$23/(273.15+Fluxes!Q41)*10</f>
        <v>-2.8045030133424229E-2</v>
      </c>
      <c r="U41" s="18">
        <f t="shared" si="2"/>
        <v>-2.0192421696065443E-2</v>
      </c>
      <c r="V41" s="98">
        <v>2.1547311887262022</v>
      </c>
      <c r="X41" s="105">
        <v>-2.4202972025880679E-2</v>
      </c>
      <c r="Z41" s="131"/>
    </row>
    <row r="42" spans="1:26" x14ac:dyDescent="0.25">
      <c r="A42" s="2" t="s">
        <v>52</v>
      </c>
      <c r="B42" s="74">
        <v>77</v>
      </c>
      <c r="C42" s="75">
        <v>95</v>
      </c>
      <c r="D42" s="75">
        <v>91</v>
      </c>
      <c r="E42" s="76">
        <v>89</v>
      </c>
      <c r="F42" s="77">
        <f>(META!C$24+AVERAGE(B42:E42)/10*META!C$23)</f>
        <v>7052.6080000000002</v>
      </c>
      <c r="G42" s="74">
        <v>0</v>
      </c>
      <c r="H42" s="75">
        <v>20</v>
      </c>
      <c r="I42" s="75">
        <v>40</v>
      </c>
      <c r="J42" s="76"/>
      <c r="K42" s="118">
        <v>1.609</v>
      </c>
      <c r="L42" s="119">
        <v>1.597</v>
      </c>
      <c r="M42" s="119">
        <v>1.5569999999999999</v>
      </c>
      <c r="N42" s="78"/>
      <c r="O42" s="18">
        <f t="shared" si="3"/>
        <v>-1.3000000000000012E-3</v>
      </c>
      <c r="P42" s="6">
        <f t="shared" si="4"/>
        <v>0.91187050359712218</v>
      </c>
      <c r="Q42" s="126">
        <v>27</v>
      </c>
      <c r="R42" s="126">
        <v>26.3</v>
      </c>
      <c r="S42" s="126">
        <v>54.7</v>
      </c>
      <c r="T42" s="6">
        <f>O42*F42*101.325/8.3145/META!C$23/(273.15+Fluxes!Q42)*10</f>
        <v>-1.1849071948594208E-2</v>
      </c>
      <c r="U42" s="18">
        <f t="shared" si="2"/>
        <v>-8.5313318029878304E-3</v>
      </c>
      <c r="V42" s="98">
        <v>1.3770785937838887</v>
      </c>
      <c r="X42" s="105">
        <v>-9.0309020731252528E-3</v>
      </c>
    </row>
    <row r="43" spans="1:26" ht="15.75" thickBot="1" x14ac:dyDescent="0.3">
      <c r="A43" s="3" t="s">
        <v>53</v>
      </c>
      <c r="B43" s="89">
        <v>98</v>
      </c>
      <c r="C43" s="90">
        <v>90</v>
      </c>
      <c r="D43" s="90">
        <v>105</v>
      </c>
      <c r="E43" s="91">
        <v>97</v>
      </c>
      <c r="F43" s="92">
        <f>(META!C$24+AVERAGE(B43:E43)/10*META!C$23)</f>
        <v>7351.06</v>
      </c>
      <c r="G43" s="89">
        <v>0</v>
      </c>
      <c r="H43" s="90">
        <v>20</v>
      </c>
      <c r="I43" s="90">
        <v>40</v>
      </c>
      <c r="J43" s="91"/>
      <c r="K43" s="123">
        <v>1.583</v>
      </c>
      <c r="L43" s="124">
        <v>1.538</v>
      </c>
      <c r="M43" s="124">
        <v>1.6060000000000001</v>
      </c>
      <c r="N43" s="93"/>
      <c r="O43" s="19">
        <f t="shared" si="3"/>
        <v>5.7500000000000324E-4</v>
      </c>
      <c r="P43" s="7">
        <f t="shared" si="4"/>
        <v>0.11054611312343383</v>
      </c>
      <c r="Q43" s="129">
        <v>27</v>
      </c>
      <c r="R43" s="129">
        <v>26.4</v>
      </c>
      <c r="S43" s="129">
        <v>46.9</v>
      </c>
      <c r="T43" s="7">
        <f>O43*F43*101.325/8.3145/META!C$23/(273.15+Fluxes!Q43)*10</f>
        <v>5.4627213880529312E-3</v>
      </c>
      <c r="U43" s="19">
        <f t="shared" si="2"/>
        <v>3.9331593993981104E-3</v>
      </c>
      <c r="V43" s="100">
        <v>0.66626332247016995</v>
      </c>
      <c r="X43" s="108">
        <v>-9.7554350404654797E-3</v>
      </c>
    </row>
    <row r="45" spans="1:26" x14ac:dyDescent="0.25">
      <c r="U45" s="9"/>
      <c r="V45" s="9"/>
      <c r="W45" s="9"/>
      <c r="X45" s="9"/>
    </row>
  </sheetData>
  <sheetProtection sheet="1" objects="1" scenarios="1"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16" sqref="B16"/>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0.13900000000000001</v>
      </c>
    </row>
    <row r="5" spans="1:2" x14ac:dyDescent="0.25">
      <c r="A5" s="58" t="s">
        <v>69</v>
      </c>
      <c r="B5" s="6">
        <v>0.53600000000000003</v>
      </c>
    </row>
    <row r="6" spans="1:2" x14ac:dyDescent="0.25">
      <c r="A6" s="59" t="s">
        <v>70</v>
      </c>
      <c r="B6" s="28">
        <v>0</v>
      </c>
    </row>
    <row r="7" spans="1:2" x14ac:dyDescent="0.25">
      <c r="A7" s="60" t="s">
        <v>71</v>
      </c>
      <c r="B7" s="62">
        <v>0</v>
      </c>
    </row>
    <row r="8" spans="1:2" x14ac:dyDescent="0.25">
      <c r="A8" s="58" t="s">
        <v>72</v>
      </c>
      <c r="B8" s="6">
        <v>0</v>
      </c>
    </row>
    <row r="9" spans="1:2" x14ac:dyDescent="0.25">
      <c r="A9" s="59" t="s">
        <v>73</v>
      </c>
      <c r="B9" s="28">
        <v>0</v>
      </c>
    </row>
    <row r="10" spans="1:2" x14ac:dyDescent="0.25">
      <c r="A10" s="60" t="s">
        <v>74</v>
      </c>
      <c r="B10" s="62">
        <v>0.20200000000000001</v>
      </c>
    </row>
    <row r="11" spans="1:2" x14ac:dyDescent="0.25">
      <c r="A11" s="58" t="s">
        <v>75</v>
      </c>
      <c r="B11" s="6">
        <v>0</v>
      </c>
    </row>
    <row r="12" spans="1:2" x14ac:dyDescent="0.25">
      <c r="A12" s="59" t="s">
        <v>76</v>
      </c>
      <c r="B12" s="130">
        <v>704.03700000000003</v>
      </c>
    </row>
    <row r="13" spans="1:2" x14ac:dyDescent="0.25">
      <c r="A13" s="60" t="s">
        <v>77</v>
      </c>
      <c r="B13" s="62">
        <v>0</v>
      </c>
    </row>
    <row r="14" spans="1:2" x14ac:dyDescent="0.25">
      <c r="A14" s="58" t="s">
        <v>78</v>
      </c>
      <c r="B14" s="6">
        <v>0</v>
      </c>
    </row>
    <row r="15" spans="1:2" x14ac:dyDescent="0.25">
      <c r="A15" s="59" t="s">
        <v>79</v>
      </c>
      <c r="B15" s="28">
        <v>0</v>
      </c>
    </row>
    <row r="16" spans="1:2" x14ac:dyDescent="0.25">
      <c r="A16" s="60" t="s">
        <v>80</v>
      </c>
      <c r="B16" s="62">
        <v>0</v>
      </c>
    </row>
    <row r="17" spans="1:2" x14ac:dyDescent="0.25">
      <c r="A17" s="58" t="s">
        <v>81</v>
      </c>
      <c r="B17" s="6">
        <v>0.20300000000000001</v>
      </c>
    </row>
    <row r="18" spans="1:2" x14ac:dyDescent="0.25">
      <c r="A18" s="59" t="s">
        <v>82</v>
      </c>
      <c r="B18" s="28">
        <v>0</v>
      </c>
    </row>
    <row r="19" spans="1:2" x14ac:dyDescent="0.25">
      <c r="A19" s="60" t="s">
        <v>83</v>
      </c>
      <c r="B19" s="62">
        <v>0.47599999999999998</v>
      </c>
    </row>
    <row r="20" spans="1:2" x14ac:dyDescent="0.25">
      <c r="A20" s="58" t="s">
        <v>84</v>
      </c>
      <c r="B20" s="6">
        <v>0</v>
      </c>
    </row>
    <row r="21" spans="1:2" x14ac:dyDescent="0.25">
      <c r="A21" s="59" t="s">
        <v>85</v>
      </c>
      <c r="B21" s="28">
        <v>0</v>
      </c>
    </row>
    <row r="22" spans="1:2" x14ac:dyDescent="0.25">
      <c r="A22" s="60" t="s">
        <v>86</v>
      </c>
      <c r="B22" s="62">
        <v>0.68700000000000006</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0.36399999999999999</v>
      </c>
    </row>
    <row r="27" spans="1:2" ht="15.75" thickBot="1" x14ac:dyDescent="0.3">
      <c r="A27" s="61" t="s">
        <v>91</v>
      </c>
      <c r="B27" s="7">
        <v>0</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6"/>
  <sheetViews>
    <sheetView workbookViewId="0">
      <selection activeCell="E20" sqref="E20"/>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6" ht="15.75" thickBot="1" x14ac:dyDescent="0.3"/>
    <row r="2" spans="2:6" x14ac:dyDescent="0.25">
      <c r="B2" s="11" t="s">
        <v>100</v>
      </c>
      <c r="C2" s="12" t="s">
        <v>99</v>
      </c>
      <c r="D2" s="12" t="s">
        <v>96</v>
      </c>
      <c r="E2" s="13" t="s">
        <v>98</v>
      </c>
      <c r="F2" s="134"/>
    </row>
    <row r="3" spans="2:6" ht="15.75" thickBot="1" x14ac:dyDescent="0.3">
      <c r="B3" s="14" t="s">
        <v>55</v>
      </c>
      <c r="C3" s="15" t="s">
        <v>10</v>
      </c>
      <c r="D3" s="15" t="s">
        <v>97</v>
      </c>
      <c r="E3" s="16" t="s">
        <v>10</v>
      </c>
    </row>
    <row r="4" spans="2:6" x14ac:dyDescent="0.25">
      <c r="B4" s="11" t="s">
        <v>103</v>
      </c>
      <c r="C4" s="110">
        <v>2.4</v>
      </c>
      <c r="D4" s="113">
        <v>42705</v>
      </c>
      <c r="E4" s="21">
        <v>2.09</v>
      </c>
    </row>
    <row r="5" spans="2:6" x14ac:dyDescent="0.25">
      <c r="B5" s="4" t="s">
        <v>106</v>
      </c>
      <c r="C5" s="111">
        <v>2.4</v>
      </c>
      <c r="D5" s="114">
        <v>42705</v>
      </c>
      <c r="E5" s="22">
        <v>2.0680000000000001</v>
      </c>
    </row>
    <row r="6" spans="2:6" ht="15.75" thickBot="1" x14ac:dyDescent="0.3">
      <c r="B6" s="14" t="s">
        <v>109</v>
      </c>
      <c r="C6" s="112">
        <v>2.4</v>
      </c>
      <c r="D6" s="115">
        <v>42705</v>
      </c>
      <c r="E6" s="23">
        <v>2.0870000000000002</v>
      </c>
    </row>
    <row r="7" spans="2:6" x14ac:dyDescent="0.25">
      <c r="B7" s="11" t="s">
        <v>104</v>
      </c>
      <c r="C7" s="110">
        <v>9.6</v>
      </c>
      <c r="D7" s="113">
        <v>42705</v>
      </c>
      <c r="E7" s="21">
        <v>7.6879999999999997</v>
      </c>
    </row>
    <row r="8" spans="2:6" x14ac:dyDescent="0.25">
      <c r="B8" s="4" t="s">
        <v>107</v>
      </c>
      <c r="C8" s="111">
        <v>9.6</v>
      </c>
      <c r="D8" s="114">
        <v>42705</v>
      </c>
      <c r="E8" s="22">
        <v>8.0310000000000006</v>
      </c>
    </row>
    <row r="9" spans="2:6" ht="15.75" thickBot="1" x14ac:dyDescent="0.3">
      <c r="B9" s="14" t="s">
        <v>110</v>
      </c>
      <c r="C9" s="112">
        <v>9.6</v>
      </c>
      <c r="D9" s="115">
        <v>42705</v>
      </c>
      <c r="E9" s="23">
        <v>8.6300000000000008</v>
      </c>
    </row>
    <row r="10" spans="2:6" x14ac:dyDescent="0.25">
      <c r="B10" s="11" t="s">
        <v>105</v>
      </c>
      <c r="C10" s="12">
        <v>14.4</v>
      </c>
      <c r="D10" s="113">
        <v>42705</v>
      </c>
      <c r="E10" s="21">
        <v>12.51</v>
      </c>
    </row>
    <row r="11" spans="2:6" x14ac:dyDescent="0.25">
      <c r="B11" s="4" t="s">
        <v>108</v>
      </c>
      <c r="C11" s="5">
        <v>14.4</v>
      </c>
      <c r="D11" s="114">
        <v>42705</v>
      </c>
      <c r="E11" s="22">
        <v>12.458</v>
      </c>
    </row>
    <row r="12" spans="2:6" ht="15.75" thickBot="1" x14ac:dyDescent="0.3">
      <c r="B12" s="14" t="s">
        <v>111</v>
      </c>
      <c r="C12" s="15">
        <v>14.4</v>
      </c>
      <c r="D12" s="115">
        <v>42705</v>
      </c>
      <c r="E12" s="67">
        <v>13.169</v>
      </c>
    </row>
    <row r="13" spans="2:6" x14ac:dyDescent="0.25">
      <c r="B13" s="11" t="s">
        <v>115</v>
      </c>
      <c r="C13" s="12">
        <v>2.4</v>
      </c>
      <c r="D13" s="113">
        <v>42705</v>
      </c>
      <c r="E13" s="21">
        <v>2.077</v>
      </c>
    </row>
    <row r="14" spans="2:6" x14ac:dyDescent="0.25">
      <c r="B14" s="4" t="s">
        <v>116</v>
      </c>
      <c r="C14" s="5">
        <v>9.6</v>
      </c>
      <c r="D14" s="114">
        <v>42705</v>
      </c>
      <c r="E14" s="22">
        <v>8.9860000000000007</v>
      </c>
    </row>
    <row r="15" spans="2:6" ht="15.75" thickBot="1" x14ac:dyDescent="0.3">
      <c r="B15" s="14" t="s">
        <v>114</v>
      </c>
      <c r="C15" s="15">
        <v>14.4</v>
      </c>
      <c r="D15" s="115">
        <v>42705</v>
      </c>
      <c r="E15" s="67">
        <v>12.925000000000001</v>
      </c>
    </row>
    <row r="18" spans="2:5" x14ac:dyDescent="0.25">
      <c r="B18" s="66" t="s">
        <v>112</v>
      </c>
    </row>
    <row r="19" spans="2:5" x14ac:dyDescent="0.25">
      <c r="B19" s="66" t="s">
        <v>102</v>
      </c>
    </row>
    <row r="22" spans="2:5" x14ac:dyDescent="0.25">
      <c r="B22" s="66"/>
    </row>
    <row r="26" spans="2:5" x14ac:dyDescent="0.25">
      <c r="E26" s="1" t="s">
        <v>113</v>
      </c>
    </row>
  </sheetData>
  <sheetProtection sheet="1" objects="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6"/>
  <sheetViews>
    <sheetView workbookViewId="0">
      <selection activeCell="F13" sqref="F13"/>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6" ht="15.75" thickBot="1" x14ac:dyDescent="0.3"/>
    <row r="2" spans="2:6" x14ac:dyDescent="0.25">
      <c r="B2" s="11" t="s">
        <v>100</v>
      </c>
      <c r="C2" s="12" t="s">
        <v>99</v>
      </c>
      <c r="D2" s="12" t="s">
        <v>96</v>
      </c>
      <c r="E2" s="13" t="s">
        <v>98</v>
      </c>
      <c r="F2" s="134"/>
    </row>
    <row r="3" spans="2:6" ht="15.75" thickBot="1" x14ac:dyDescent="0.3">
      <c r="B3" s="14" t="s">
        <v>55</v>
      </c>
      <c r="C3" s="15" t="s">
        <v>10</v>
      </c>
      <c r="D3" s="15" t="s">
        <v>97</v>
      </c>
      <c r="E3" s="16" t="s">
        <v>10</v>
      </c>
    </row>
    <row r="4" spans="2:6" x14ac:dyDescent="0.25">
      <c r="B4" s="11" t="s">
        <v>119</v>
      </c>
      <c r="C4" s="110">
        <v>500</v>
      </c>
      <c r="D4" s="113">
        <v>42709</v>
      </c>
      <c r="E4" s="21">
        <v>447.53399999999999</v>
      </c>
    </row>
    <row r="5" spans="2:6" x14ac:dyDescent="0.25">
      <c r="B5" s="4" t="s">
        <v>120</v>
      </c>
      <c r="C5" s="111">
        <v>500</v>
      </c>
      <c r="D5" s="114">
        <v>42709</v>
      </c>
      <c r="E5" s="22">
        <v>446.24400000000003</v>
      </c>
    </row>
    <row r="6" spans="2:6" ht="15.75" thickBot="1" x14ac:dyDescent="0.3">
      <c r="B6" s="14" t="s">
        <v>121</v>
      </c>
      <c r="C6" s="112">
        <v>500</v>
      </c>
      <c r="D6" s="115">
        <v>42709</v>
      </c>
      <c r="E6" s="23">
        <v>448.875</v>
      </c>
    </row>
    <row r="7" spans="2:6" x14ac:dyDescent="0.25">
      <c r="B7" s="11"/>
      <c r="C7" s="110"/>
      <c r="D7" s="113"/>
      <c r="E7" s="21"/>
    </row>
    <row r="8" spans="2:6" x14ac:dyDescent="0.25">
      <c r="B8" s="4"/>
      <c r="C8" s="111"/>
      <c r="D8" s="114"/>
      <c r="E8" s="22"/>
    </row>
    <row r="9" spans="2:6" ht="15.75" thickBot="1" x14ac:dyDescent="0.3">
      <c r="B9" s="14"/>
      <c r="C9" s="112"/>
      <c r="D9" s="115"/>
      <c r="E9" s="23"/>
    </row>
    <row r="10" spans="2:6" x14ac:dyDescent="0.25">
      <c r="B10" s="11"/>
      <c r="C10" s="12"/>
      <c r="D10" s="113"/>
      <c r="E10" s="21"/>
    </row>
    <row r="11" spans="2:6" x14ac:dyDescent="0.25">
      <c r="B11" s="4"/>
      <c r="C11" s="5"/>
      <c r="D11" s="114"/>
      <c r="E11" s="22"/>
    </row>
    <row r="12" spans="2:6" ht="15.75" thickBot="1" x14ac:dyDescent="0.3">
      <c r="B12" s="14"/>
      <c r="C12" s="15"/>
      <c r="D12" s="115"/>
      <c r="E12" s="67"/>
    </row>
    <row r="13" spans="2:6" x14ac:dyDescent="0.25">
      <c r="B13" s="11"/>
      <c r="C13" s="12"/>
      <c r="D13" s="113"/>
      <c r="E13" s="21"/>
    </row>
    <row r="14" spans="2:6" x14ac:dyDescent="0.25">
      <c r="B14" s="4"/>
      <c r="C14" s="5"/>
      <c r="D14" s="114"/>
      <c r="E14" s="22"/>
    </row>
    <row r="15" spans="2:6" ht="15.75" thickBot="1" x14ac:dyDescent="0.3">
      <c r="B15" s="14"/>
      <c r="C15" s="15"/>
      <c r="D15" s="115"/>
      <c r="E15" s="67"/>
    </row>
    <row r="18" spans="2:5" x14ac:dyDescent="0.25">
      <c r="B18" s="66" t="s">
        <v>117</v>
      </c>
    </row>
    <row r="19" spans="2:5" x14ac:dyDescent="0.25">
      <c r="B19" s="66" t="s">
        <v>118</v>
      </c>
    </row>
    <row r="22" spans="2:5" x14ac:dyDescent="0.25">
      <c r="B22" s="66"/>
    </row>
    <row r="26" spans="2:5" x14ac:dyDescent="0.25">
      <c r="E26" s="1" t="s">
        <v>113</v>
      </c>
    </row>
  </sheetData>
  <sheetProtection sheet="1" objects="1" scenarios="1"/>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L28" sqref="L28"/>
    </sheetView>
  </sheetViews>
  <sheetFormatPr defaultRowHeight="15" x14ac:dyDescent="0.25"/>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Fluxes</vt:lpstr>
      <vt:lpstr>Concentrations</vt:lpstr>
      <vt:lpstr>StandardsA</vt:lpstr>
      <vt:lpstr>StandardsB</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2016-12-08T17:27:56Z</dcterms:modified>
</cp:coreProperties>
</file>